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YSASIC\Conference - 2024 Spring\"/>
    </mc:Choice>
  </mc:AlternateContent>
  <xr:revisionPtr revIDLastSave="0" documentId="13_ncr:1_{D0BD8144-4BED-4FC9-B32C-23B3A30C884E}" xr6:coauthVersionLast="47" xr6:coauthVersionMax="47" xr10:uidLastSave="{00000000-0000-0000-0000-000000000000}"/>
  <bookViews>
    <workbookView xWindow="24" yWindow="624" windowWidth="23016" windowHeight="12336" firstSheet="3" activeTab="3" xr2:uid="{00000000-000D-0000-FFFF-FFFF00000000}"/>
  </bookViews>
  <sheets>
    <sheet name="INPUT " sheetId="15" r:id="rId1"/>
    <sheet name="OVERNIGHT PCKGS-ADD TO RM RATE" sheetId="13" r:id="rId2"/>
    <sheet name="OVERNIGHT PCKGS WITH ROOM RATE" sheetId="20" r:id="rId3"/>
    <sheet name="NYSASIC Res Form 2023" sheetId="23" r:id="rId4"/>
  </sheets>
  <definedNames>
    <definedName name="_xlnm.Print_Area" localSheetId="0">'INPUT '!$A$2:$M$18</definedName>
    <definedName name="_xlnm.Print_Area" localSheetId="3">'NYSASIC Res Form 2023'!$A$1:$N$70</definedName>
    <definedName name="_xlnm.Print_Area" localSheetId="2">'OVERNIGHT PCKGS WITH ROOM RATE'!$A$33:$M$82</definedName>
    <definedName name="_xlnm.Print_Area" localSheetId="1">'OVERNIGHT PCKGS-ADD TO RM RATE'!$A$1:$I$58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23" l="1"/>
  <c r="A23" i="23"/>
  <c r="A33" i="23"/>
  <c r="E45" i="23"/>
  <c r="A11" i="23"/>
  <c r="A12" i="23" s="1"/>
  <c r="D22" i="13"/>
  <c r="E22" i="13"/>
  <c r="E44" i="13" s="1"/>
  <c r="K10" i="15"/>
  <c r="L10" i="20"/>
  <c r="R73" i="20" s="1"/>
  <c r="K11" i="15"/>
  <c r="L11" i="20" s="1"/>
  <c r="L4" i="20"/>
  <c r="B2" i="13"/>
  <c r="B24" i="13" s="1"/>
  <c r="B3" i="13"/>
  <c r="B4" i="13"/>
  <c r="B5" i="13"/>
  <c r="B27" i="13" s="1"/>
  <c r="B6" i="13"/>
  <c r="B7" i="13"/>
  <c r="B10" i="20" s="1"/>
  <c r="C40" i="20" s="1"/>
  <c r="B8" i="13"/>
  <c r="B30" i="13" s="1"/>
  <c r="B9" i="13"/>
  <c r="B31" i="13" s="1"/>
  <c r="B10" i="13"/>
  <c r="B13" i="20" s="1"/>
  <c r="B11" i="13"/>
  <c r="B12" i="13"/>
  <c r="B13" i="13"/>
  <c r="B35" i="13" s="1"/>
  <c r="B14" i="13"/>
  <c r="B17" i="20" s="1"/>
  <c r="B18" i="20"/>
  <c r="C48" i="20" s="1"/>
  <c r="B19" i="20"/>
  <c r="C49" i="20" s="1"/>
  <c r="B17" i="13"/>
  <c r="B39" i="13" s="1"/>
  <c r="B18" i="13"/>
  <c r="B19" i="13"/>
  <c r="B20" i="13"/>
  <c r="B21" i="13"/>
  <c r="B43" i="13" s="1"/>
  <c r="B22" i="13"/>
  <c r="B25" i="20" s="1"/>
  <c r="C5" i="13"/>
  <c r="C27" i="13" s="1"/>
  <c r="C6" i="13"/>
  <c r="C9" i="20" s="1"/>
  <c r="C7" i="13"/>
  <c r="C29" i="13" s="1"/>
  <c r="C8" i="13"/>
  <c r="C9" i="13"/>
  <c r="C31" i="13" s="1"/>
  <c r="C10" i="13"/>
  <c r="C13" i="20" s="1"/>
  <c r="C11" i="13"/>
  <c r="C14" i="20" s="1"/>
  <c r="J44" i="20" s="1"/>
  <c r="C12" i="13"/>
  <c r="C13" i="13"/>
  <c r="C16" i="20" s="1"/>
  <c r="J46" i="20" s="1"/>
  <c r="C14" i="13"/>
  <c r="C36" i="13" s="1"/>
  <c r="C18" i="20"/>
  <c r="J48" i="20" s="1"/>
  <c r="C19" i="20"/>
  <c r="J49" i="20" s="1"/>
  <c r="C17" i="13"/>
  <c r="C18" i="13"/>
  <c r="C40" i="13" s="1"/>
  <c r="C19" i="13"/>
  <c r="C22" i="20" s="1"/>
  <c r="J52" i="20" s="1"/>
  <c r="C20" i="13"/>
  <c r="C21" i="13"/>
  <c r="C24" i="20" s="1"/>
  <c r="J54" i="20" s="1"/>
  <c r="C22" i="13"/>
  <c r="D5" i="13"/>
  <c r="D27" i="13" s="1"/>
  <c r="D6" i="13"/>
  <c r="D7" i="13"/>
  <c r="D8" i="13"/>
  <c r="D11" i="20" s="1"/>
  <c r="O41" i="20" s="1"/>
  <c r="D9" i="13"/>
  <c r="D10" i="13"/>
  <c r="D13" i="20" s="1"/>
  <c r="O43" i="20" s="1"/>
  <c r="D11" i="13"/>
  <c r="D12" i="13"/>
  <c r="D15" i="20" s="1"/>
  <c r="O45" i="20" s="1"/>
  <c r="D13" i="13"/>
  <c r="D14" i="13"/>
  <c r="D18" i="20"/>
  <c r="O48" i="20" s="1"/>
  <c r="D19" i="20"/>
  <c r="O49" i="20" s="1"/>
  <c r="D17" i="13"/>
  <c r="D20" i="20" s="1"/>
  <c r="O50" i="20" s="1"/>
  <c r="D18" i="13"/>
  <c r="D21" i="20" s="1"/>
  <c r="O51" i="20" s="1"/>
  <c r="D19" i="13"/>
  <c r="D41" i="13" s="1"/>
  <c r="D20" i="13"/>
  <c r="D42" i="13" s="1"/>
  <c r="D21" i="13"/>
  <c r="E5" i="13"/>
  <c r="E6" i="13"/>
  <c r="E7" i="13"/>
  <c r="E10" i="20" s="1"/>
  <c r="T40" i="20" s="1"/>
  <c r="E8" i="13"/>
  <c r="E9" i="13"/>
  <c r="E31" i="13" s="1"/>
  <c r="E10" i="13"/>
  <c r="E32" i="13" s="1"/>
  <c r="E11" i="13"/>
  <c r="E14" i="20" s="1"/>
  <c r="T44" i="20" s="1"/>
  <c r="E12" i="13"/>
  <c r="E15" i="20" s="1"/>
  <c r="T45" i="20" s="1"/>
  <c r="E13" i="13"/>
  <c r="E14" i="13"/>
  <c r="E36" i="13" s="1"/>
  <c r="E18" i="20"/>
  <c r="T48" i="20" s="1"/>
  <c r="E19" i="20"/>
  <c r="T49" i="20" s="1"/>
  <c r="E17" i="13"/>
  <c r="E20" i="20" s="1"/>
  <c r="T50" i="20" s="1"/>
  <c r="E18" i="13"/>
  <c r="E40" i="13" s="1"/>
  <c r="E19" i="13"/>
  <c r="E41" i="13" s="1"/>
  <c r="E20" i="13"/>
  <c r="E42" i="13" s="1"/>
  <c r="E21" i="13"/>
  <c r="E24" i="20" s="1"/>
  <c r="T54" i="20" s="1"/>
  <c r="F5" i="13"/>
  <c r="F6" i="13"/>
  <c r="F7" i="13"/>
  <c r="F8" i="13"/>
  <c r="F9" i="13"/>
  <c r="F31" i="13" s="1"/>
  <c r="F10" i="13"/>
  <c r="F32" i="13" s="1"/>
  <c r="F11" i="13"/>
  <c r="F12" i="13"/>
  <c r="F15" i="20" s="1"/>
  <c r="F13" i="13"/>
  <c r="F16" i="20"/>
  <c r="F14" i="13"/>
  <c r="F36" i="13" s="1"/>
  <c r="F18" i="20"/>
  <c r="F19" i="20"/>
  <c r="F17" i="13"/>
  <c r="F18" i="13"/>
  <c r="F21" i="20" s="1"/>
  <c r="F19" i="13"/>
  <c r="F20" i="13"/>
  <c r="F42" i="13" s="1"/>
  <c r="F21" i="13"/>
  <c r="F24" i="20" s="1"/>
  <c r="F22" i="13"/>
  <c r="F44" i="13" s="1"/>
  <c r="G5" i="13"/>
  <c r="G6" i="13"/>
  <c r="G9" i="20" s="1"/>
  <c r="G7" i="13"/>
  <c r="G10" i="20" s="1"/>
  <c r="G8" i="13"/>
  <c r="G11" i="20" s="1"/>
  <c r="G9" i="13"/>
  <c r="G12" i="20" s="1"/>
  <c r="G10" i="13"/>
  <c r="G11" i="13"/>
  <c r="G14" i="20" s="1"/>
  <c r="G12" i="13"/>
  <c r="G13" i="13"/>
  <c r="G16" i="20" s="1"/>
  <c r="G14" i="13"/>
  <c r="G18" i="20"/>
  <c r="G19" i="20"/>
  <c r="G17" i="13"/>
  <c r="G39" i="13" s="1"/>
  <c r="G18" i="13"/>
  <c r="G40" i="13" s="1"/>
  <c r="G19" i="13"/>
  <c r="G20" i="13"/>
  <c r="G42" i="13" s="1"/>
  <c r="G21" i="13"/>
  <c r="G22" i="13"/>
  <c r="G44" i="13" s="1"/>
  <c r="L15" i="20"/>
  <c r="AE60" i="20" s="1"/>
  <c r="L16" i="20"/>
  <c r="L17" i="20"/>
  <c r="L18" i="20"/>
  <c r="L9" i="20"/>
  <c r="B3" i="20"/>
  <c r="B26" i="20" s="1"/>
  <c r="A3" i="20"/>
  <c r="AA75" i="20"/>
  <c r="AD75" i="20" s="1"/>
  <c r="AA76" i="20"/>
  <c r="AC76" i="20" s="1"/>
  <c r="AD49" i="20"/>
  <c r="Y49" i="20"/>
  <c r="AD48" i="20"/>
  <c r="Y48" i="20"/>
  <c r="A19" i="20"/>
  <c r="A18" i="20"/>
  <c r="G38" i="13"/>
  <c r="F38" i="13"/>
  <c r="E38" i="13"/>
  <c r="D38" i="13"/>
  <c r="C38" i="13"/>
  <c r="B38" i="13"/>
  <c r="G37" i="13"/>
  <c r="F37" i="13"/>
  <c r="E37" i="13"/>
  <c r="D37" i="13"/>
  <c r="C37" i="13"/>
  <c r="B37" i="13"/>
  <c r="AD54" i="20"/>
  <c r="Y54" i="20"/>
  <c r="AD53" i="20"/>
  <c r="Y53" i="20"/>
  <c r="AD52" i="20"/>
  <c r="Y52" i="20"/>
  <c r="AD51" i="20"/>
  <c r="Y51" i="20"/>
  <c r="AD50" i="20"/>
  <c r="Y50" i="20"/>
  <c r="AD47" i="20"/>
  <c r="Y47" i="20"/>
  <c r="AD46" i="20"/>
  <c r="Y46" i="20"/>
  <c r="AD45" i="20"/>
  <c r="Y45" i="20"/>
  <c r="AD44" i="20"/>
  <c r="Y44" i="20"/>
  <c r="AD43" i="20"/>
  <c r="Y43" i="20"/>
  <c r="AD42" i="20"/>
  <c r="Y42" i="20"/>
  <c r="AD41" i="20"/>
  <c r="Y41" i="20"/>
  <c r="AD40" i="20"/>
  <c r="Y40" i="20"/>
  <c r="AD39" i="20"/>
  <c r="Y39" i="20"/>
  <c r="AD38" i="20"/>
  <c r="Y38" i="20"/>
  <c r="AD37" i="20"/>
  <c r="Y37" i="20"/>
  <c r="AD36" i="20"/>
  <c r="Y36" i="20"/>
  <c r="AD35" i="20"/>
  <c r="Y35" i="20"/>
  <c r="C2" i="15"/>
  <c r="D2" i="15" s="1"/>
  <c r="B1" i="13"/>
  <c r="B45" i="13" s="1"/>
  <c r="B80" i="13" s="1"/>
  <c r="G26" i="13"/>
  <c r="F26" i="13"/>
  <c r="G25" i="13"/>
  <c r="F25" i="13"/>
  <c r="G24" i="13"/>
  <c r="F24" i="13"/>
  <c r="C23" i="13"/>
  <c r="D23" i="13"/>
  <c r="E23" i="13" s="1"/>
  <c r="F23" i="13" s="1"/>
  <c r="G23" i="13" s="1"/>
  <c r="E26" i="13"/>
  <c r="E25" i="13"/>
  <c r="E24" i="13"/>
  <c r="D26" i="13"/>
  <c r="D25" i="13"/>
  <c r="D24" i="13"/>
  <c r="C26" i="13"/>
  <c r="C25" i="13"/>
  <c r="C24" i="13"/>
  <c r="A16" i="20"/>
  <c r="A15" i="20"/>
  <c r="T37" i="20"/>
  <c r="T36" i="20"/>
  <c r="T35" i="20"/>
  <c r="A13" i="20"/>
  <c r="A11" i="20"/>
  <c r="A9" i="20"/>
  <c r="A8" i="20"/>
  <c r="O37" i="20"/>
  <c r="O36" i="20"/>
  <c r="O35" i="20"/>
  <c r="J37" i="20"/>
  <c r="J36" i="20"/>
  <c r="J35" i="20"/>
  <c r="A23" i="20"/>
  <c r="A5" i="20"/>
  <c r="A6" i="20"/>
  <c r="A7" i="20"/>
  <c r="A10" i="20"/>
  <c r="A12" i="20"/>
  <c r="A14" i="20"/>
  <c r="A17" i="20"/>
  <c r="A20" i="20"/>
  <c r="A21" i="20"/>
  <c r="A22" i="20"/>
  <c r="A24" i="20"/>
  <c r="A25" i="20"/>
  <c r="A57" i="13"/>
  <c r="A64" i="13"/>
  <c r="A71" i="13"/>
  <c r="A78" i="13" s="1"/>
  <c r="A85" i="13" s="1"/>
  <c r="A55" i="13"/>
  <c r="A62" i="13" s="1"/>
  <c r="A69" i="13" s="1"/>
  <c r="A76" i="13" s="1"/>
  <c r="A83" i="13" s="1"/>
  <c r="A56" i="13"/>
  <c r="A63" i="13" s="1"/>
  <c r="A70" i="13" s="1"/>
  <c r="A77" i="13" s="1"/>
  <c r="A84" i="13" s="1"/>
  <c r="A54" i="13"/>
  <c r="A61" i="13" s="1"/>
  <c r="A68" i="13" s="1"/>
  <c r="A75" i="13" s="1"/>
  <c r="A82" i="13" s="1"/>
  <c r="A53" i="13"/>
  <c r="A60" i="13" s="1"/>
  <c r="A67" i="13" s="1"/>
  <c r="A74" i="13" s="1"/>
  <c r="A81" i="13" s="1"/>
  <c r="A1" i="13"/>
  <c r="K5" i="15"/>
  <c r="K6" i="15"/>
  <c r="B41" i="13"/>
  <c r="F40" i="13"/>
  <c r="G28" i="13"/>
  <c r="B22" i="20"/>
  <c r="D22" i="20"/>
  <c r="B12" i="20"/>
  <c r="C42" i="20" s="1"/>
  <c r="AC33" i="20"/>
  <c r="F35" i="13"/>
  <c r="E13" i="20"/>
  <c r="T43" i="20" s="1"/>
  <c r="C12" i="20"/>
  <c r="J42" i="20" s="1"/>
  <c r="E8" i="20"/>
  <c r="T38" i="20" s="1"/>
  <c r="D32" i="13"/>
  <c r="F8" i="20"/>
  <c r="E39" i="13"/>
  <c r="G25" i="20"/>
  <c r="G15" i="20"/>
  <c r="G34" i="13"/>
  <c r="D39" i="13"/>
  <c r="F12" i="20"/>
  <c r="C21" i="20"/>
  <c r="J51" i="20" s="1"/>
  <c r="G31" i="13"/>
  <c r="G27" i="13"/>
  <c r="F23" i="20"/>
  <c r="D30" i="13"/>
  <c r="C41" i="13"/>
  <c r="B8" i="20"/>
  <c r="C38" i="20" s="1"/>
  <c r="E12" i="20"/>
  <c r="T42" i="20" s="1"/>
  <c r="C33" i="13"/>
  <c r="B36" i="13"/>
  <c r="AC59" i="20"/>
  <c r="AC66" i="20" s="1"/>
  <c r="B44" i="13"/>
  <c r="E23" i="20"/>
  <c r="T53" i="20" s="1"/>
  <c r="F43" i="13"/>
  <c r="C3" i="20"/>
  <c r="I85" i="20" s="1"/>
  <c r="B32" i="13"/>
  <c r="B28" i="13"/>
  <c r="G17" i="20"/>
  <c r="G36" i="13"/>
  <c r="I84" i="20"/>
  <c r="B98" i="20"/>
  <c r="S33" i="20"/>
  <c r="B33" i="20"/>
  <c r="B126" i="20"/>
  <c r="AA70" i="20"/>
  <c r="AC56" i="20"/>
  <c r="X56" i="20"/>
  <c r="L5" i="20"/>
  <c r="L6" i="20"/>
  <c r="G46" i="23"/>
  <c r="G45" i="23"/>
  <c r="E46" i="23"/>
  <c r="E47" i="23" s="1"/>
  <c r="AB75" i="20"/>
  <c r="AC75" i="20"/>
  <c r="B20" i="20"/>
  <c r="C50" i="20" s="1"/>
  <c r="J73" i="20"/>
  <c r="T59" i="20"/>
  <c r="G22" i="20"/>
  <c r="G41" i="13"/>
  <c r="G30" i="13"/>
  <c r="F28" i="13"/>
  <c r="F9" i="20"/>
  <c r="E28" i="13"/>
  <c r="C32" i="13"/>
  <c r="AB76" i="20"/>
  <c r="B24" i="20"/>
  <c r="C54" i="20" s="1"/>
  <c r="G43" i="13"/>
  <c r="G24" i="20"/>
  <c r="E34" i="13"/>
  <c r="C39" i="13"/>
  <c r="C20" i="20"/>
  <c r="J50" i="20" s="1"/>
  <c r="B40" i="13"/>
  <c r="B21" i="20"/>
  <c r="C51" i="20" s="1"/>
  <c r="B34" i="13"/>
  <c r="B15" i="20"/>
  <c r="C45" i="20" s="1"/>
  <c r="B7" i="20"/>
  <c r="C37" i="20" s="1"/>
  <c r="B26" i="13"/>
  <c r="D35" i="13"/>
  <c r="D16" i="20"/>
  <c r="O46" i="20" s="1"/>
  <c r="D8" i="20"/>
  <c r="O38" i="20" s="1"/>
  <c r="C23" i="20"/>
  <c r="J53" i="20" s="1"/>
  <c r="C42" i="13"/>
  <c r="C34" i="13"/>
  <c r="C15" i="20"/>
  <c r="J45" i="20" s="1"/>
  <c r="C8" i="20"/>
  <c r="J38" i="20" s="1"/>
  <c r="E25" i="20"/>
  <c r="C30" i="13"/>
  <c r="C11" i="20"/>
  <c r="J41" i="20" s="1"/>
  <c r="F14" i="20"/>
  <c r="F33" i="13"/>
  <c r="E29" i="13"/>
  <c r="B25" i="13"/>
  <c r="B29" i="13"/>
  <c r="G33" i="13"/>
  <c r="G8" i="20"/>
  <c r="C73" i="20"/>
  <c r="AB73" i="20"/>
  <c r="AD59" i="20"/>
  <c r="AD66" i="20" s="1"/>
  <c r="J87" i="20"/>
  <c r="C129" i="20"/>
  <c r="C136" i="20" s="1"/>
  <c r="J59" i="20"/>
  <c r="C101" i="20"/>
  <c r="C108" i="20" s="1"/>
  <c r="C87" i="20"/>
  <c r="O59" i="20"/>
  <c r="C115" i="20"/>
  <c r="C122" i="20" s="1"/>
  <c r="Y59" i="20"/>
  <c r="Y66" i="20" s="1"/>
  <c r="C59" i="20"/>
  <c r="C66" i="20" s="1"/>
  <c r="B70" i="20"/>
  <c r="B84" i="20"/>
  <c r="B112" i="20"/>
  <c r="I33" i="20"/>
  <c r="X33" i="20"/>
  <c r="Q70" i="20"/>
  <c r="I70" i="20"/>
  <c r="B56" i="20"/>
  <c r="N56" i="20"/>
  <c r="N33" i="20"/>
  <c r="S56" i="20"/>
  <c r="I56" i="20"/>
  <c r="D33" i="13"/>
  <c r="D14" i="20"/>
  <c r="O44" i="20" s="1"/>
  <c r="B57" i="20"/>
  <c r="B34" i="20" s="1"/>
  <c r="B71" i="20"/>
  <c r="D9" i="20"/>
  <c r="D28" i="13"/>
  <c r="B127" i="20"/>
  <c r="B101" i="20"/>
  <c r="B99" i="20"/>
  <c r="J94" i="20"/>
  <c r="AB80" i="20"/>
  <c r="C99" i="20"/>
  <c r="C43" i="13"/>
  <c r="G23" i="20"/>
  <c r="G20" i="20"/>
  <c r="C25" i="20"/>
  <c r="C44" i="13"/>
  <c r="B16" i="20"/>
  <c r="C46" i="20" s="1"/>
  <c r="F25" i="20"/>
  <c r="E11" i="20"/>
  <c r="T41" i="20" s="1"/>
  <c r="E30" i="13"/>
  <c r="J88" i="20"/>
  <c r="D116" i="20"/>
  <c r="R74" i="20"/>
  <c r="F30" i="13"/>
  <c r="F11" i="20"/>
  <c r="E16" i="20"/>
  <c r="T46" i="20" s="1"/>
  <c r="E35" i="13"/>
  <c r="E27" i="13"/>
  <c r="D12" i="20"/>
  <c r="O42" i="20" s="1"/>
  <c r="D31" i="13"/>
  <c r="F27" i="13"/>
  <c r="B9" i="20"/>
  <c r="C39" i="20" s="1"/>
  <c r="E21" i="20"/>
  <c r="T51" i="20" s="1"/>
  <c r="I73" i="20"/>
  <c r="D1" i="13" l="1"/>
  <c r="D45" i="13" s="1"/>
  <c r="D59" i="13" s="1"/>
  <c r="E2" i="15"/>
  <c r="D34" i="13"/>
  <c r="G47" i="13"/>
  <c r="O66" i="20"/>
  <c r="C80" i="20"/>
  <c r="E22" i="20"/>
  <c r="T52" i="20" s="1"/>
  <c r="B49" i="13"/>
  <c r="B66" i="13"/>
  <c r="E33" i="13"/>
  <c r="C28" i="13"/>
  <c r="F13" i="20"/>
  <c r="C94" i="20"/>
  <c r="C1" i="13"/>
  <c r="C45" i="13" s="1"/>
  <c r="G29" i="13"/>
  <c r="AA60" i="20"/>
  <c r="J66" i="20"/>
  <c r="C17" i="20"/>
  <c r="AB74" i="20"/>
  <c r="AB77" i="20" s="1"/>
  <c r="AB78" i="20" s="1"/>
  <c r="F46" i="13"/>
  <c r="I71" i="20"/>
  <c r="C71" i="20"/>
  <c r="D102" i="20"/>
  <c r="C43" i="20"/>
  <c r="AC73" i="20"/>
  <c r="S73" i="20"/>
  <c r="B88" i="20"/>
  <c r="B130" i="20"/>
  <c r="E17" i="20"/>
  <c r="K12" i="15"/>
  <c r="L12" i="20" s="1"/>
  <c r="B5" i="20"/>
  <c r="C35" i="20" s="1"/>
  <c r="B116" i="20"/>
  <c r="C85" i="20"/>
  <c r="F34" i="13"/>
  <c r="B74" i="20"/>
  <c r="F17" i="20"/>
  <c r="D3" i="20"/>
  <c r="D127" i="20" s="1"/>
  <c r="B85" i="20"/>
  <c r="D23" i="20"/>
  <c r="O53" i="20" s="1"/>
  <c r="AD76" i="20"/>
  <c r="C35" i="13"/>
  <c r="B11" i="20"/>
  <c r="C41" i="20" s="1"/>
  <c r="D40" i="13"/>
  <c r="D47" i="13"/>
  <c r="C102" i="20"/>
  <c r="C26" i="20"/>
  <c r="I57" i="20"/>
  <c r="I34" i="20" s="1"/>
  <c r="B60" i="20"/>
  <c r="E43" i="13"/>
  <c r="G35" i="13"/>
  <c r="G21" i="20"/>
  <c r="T60" i="20"/>
  <c r="C127" i="20"/>
  <c r="T66" i="20"/>
  <c r="J80" i="20"/>
  <c r="C59" i="13"/>
  <c r="C73" i="13"/>
  <c r="D73" i="20"/>
  <c r="D80" i="20" s="1"/>
  <c r="J43" i="20"/>
  <c r="G47" i="23"/>
  <c r="S80" i="20"/>
  <c r="O52" i="20"/>
  <c r="F29" i="13"/>
  <c r="F10" i="20"/>
  <c r="D43" i="13"/>
  <c r="D24" i="20"/>
  <c r="O54" i="20" s="1"/>
  <c r="D17" i="20"/>
  <c r="D36" i="13"/>
  <c r="J39" i="20"/>
  <c r="B23" i="20"/>
  <c r="C53" i="20" s="1"/>
  <c r="B42" i="13"/>
  <c r="B47" i="13"/>
  <c r="B46" i="13"/>
  <c r="B6" i="20"/>
  <c r="R80" i="20"/>
  <c r="D44" i="13"/>
  <c r="D25" i="20"/>
  <c r="D85" i="20"/>
  <c r="Q71" i="20"/>
  <c r="E3" i="20"/>
  <c r="J85" i="20"/>
  <c r="O39" i="20"/>
  <c r="B73" i="13"/>
  <c r="B52" i="13"/>
  <c r="B59" i="13"/>
  <c r="AA73" i="20"/>
  <c r="B73" i="20"/>
  <c r="B87" i="20"/>
  <c r="I59" i="20"/>
  <c r="B59" i="20"/>
  <c r="I87" i="20"/>
  <c r="S59" i="20"/>
  <c r="B129" i="20"/>
  <c r="N59" i="20"/>
  <c r="Q73" i="20"/>
  <c r="B115" i="20"/>
  <c r="X59" i="20"/>
  <c r="C116" i="20"/>
  <c r="P60" i="20"/>
  <c r="D60" i="20"/>
  <c r="E60" i="20"/>
  <c r="U60" i="20"/>
  <c r="E116" i="20"/>
  <c r="L60" i="20"/>
  <c r="L74" i="20"/>
  <c r="E88" i="20"/>
  <c r="O60" i="20"/>
  <c r="V60" i="20"/>
  <c r="AC60" i="20"/>
  <c r="Z60" i="20"/>
  <c r="AF60" i="20"/>
  <c r="K88" i="20"/>
  <c r="C130" i="20"/>
  <c r="X60" i="20"/>
  <c r="AD74" i="20"/>
  <c r="I88" i="20"/>
  <c r="B102" i="20"/>
  <c r="AA74" i="20"/>
  <c r="N60" i="20"/>
  <c r="E74" i="20"/>
  <c r="T74" i="20"/>
  <c r="S60" i="20"/>
  <c r="C60" i="20"/>
  <c r="D130" i="20"/>
  <c r="K60" i="20"/>
  <c r="J74" i="20"/>
  <c r="L88" i="20"/>
  <c r="D88" i="20"/>
  <c r="E102" i="20"/>
  <c r="Q74" i="20"/>
  <c r="S74" i="20"/>
  <c r="J60" i="20"/>
  <c r="I74" i="20"/>
  <c r="AC74" i="20"/>
  <c r="AC77" i="20" s="1"/>
  <c r="K74" i="20"/>
  <c r="AD60" i="20"/>
  <c r="C88" i="20"/>
  <c r="I60" i="20"/>
  <c r="D74" i="20"/>
  <c r="Y60" i="20"/>
  <c r="E130" i="20"/>
  <c r="C74" i="20"/>
  <c r="Q60" i="20"/>
  <c r="F22" i="20"/>
  <c r="F47" i="13"/>
  <c r="F48" i="13" s="1"/>
  <c r="F50" i="13" s="1"/>
  <c r="F41" i="13"/>
  <c r="F49" i="13"/>
  <c r="C47" i="13"/>
  <c r="C49" i="13"/>
  <c r="C10" i="20"/>
  <c r="J40" i="20" s="1"/>
  <c r="C46" i="13"/>
  <c r="C47" i="20"/>
  <c r="B113" i="20"/>
  <c r="B14" i="20"/>
  <c r="C44" i="20" s="1"/>
  <c r="B33" i="13"/>
  <c r="D80" i="13"/>
  <c r="D66" i="13"/>
  <c r="D73" i="13"/>
  <c r="C52" i="20"/>
  <c r="E47" i="13"/>
  <c r="E9" i="20"/>
  <c r="E49" i="13"/>
  <c r="E46" i="13"/>
  <c r="D26" i="20"/>
  <c r="I80" i="20"/>
  <c r="AC80" i="20"/>
  <c r="B108" i="20"/>
  <c r="K73" i="20"/>
  <c r="AE59" i="20"/>
  <c r="P59" i="20"/>
  <c r="K59" i="20"/>
  <c r="D59" i="20"/>
  <c r="D101" i="20"/>
  <c r="D87" i="20"/>
  <c r="K87" i="20"/>
  <c r="D115" i="20"/>
  <c r="Z59" i="20"/>
  <c r="D129" i="20"/>
  <c r="U59" i="20"/>
  <c r="C66" i="13"/>
  <c r="C52" i="13"/>
  <c r="C80" i="13"/>
  <c r="G49" i="13"/>
  <c r="G46" i="13"/>
  <c r="G48" i="13" s="1"/>
  <c r="G13" i="20"/>
  <c r="G28" i="20" s="1"/>
  <c r="AC62" i="20" s="1"/>
  <c r="G32" i="13"/>
  <c r="F20" i="20"/>
  <c r="F39" i="13"/>
  <c r="D29" i="13"/>
  <c r="D49" i="13"/>
  <c r="D10" i="20"/>
  <c r="D46" i="13"/>
  <c r="D48" i="13" s="1"/>
  <c r="G27" i="20"/>
  <c r="J47" i="20" l="1"/>
  <c r="C113" i="20"/>
  <c r="F2" i="15"/>
  <c r="E1" i="13"/>
  <c r="E45" i="13" s="1"/>
  <c r="D27" i="20"/>
  <c r="N61" i="20" s="1"/>
  <c r="Q59" i="20"/>
  <c r="Q66" i="20" s="1"/>
  <c r="E73" i="20"/>
  <c r="E80" i="20" s="1"/>
  <c r="E59" i="20"/>
  <c r="E66" i="20" s="1"/>
  <c r="AD73" i="20"/>
  <c r="AD80" i="20" s="1"/>
  <c r="L87" i="20"/>
  <c r="L94" i="20" s="1"/>
  <c r="V59" i="20"/>
  <c r="V66" i="20" s="1"/>
  <c r="AF59" i="20"/>
  <c r="AF66" i="20" s="1"/>
  <c r="E115" i="20"/>
  <c r="E122" i="20" s="1"/>
  <c r="L73" i="20"/>
  <c r="L80" i="20" s="1"/>
  <c r="E101" i="20"/>
  <c r="E108" i="20" s="1"/>
  <c r="AA59" i="20"/>
  <c r="AA66" i="20" s="1"/>
  <c r="L59" i="20"/>
  <c r="L66" i="20" s="1"/>
  <c r="T73" i="20"/>
  <c r="T80" i="20" s="1"/>
  <c r="E87" i="20"/>
  <c r="E94" i="20" s="1"/>
  <c r="E129" i="20"/>
  <c r="E136" i="20" s="1"/>
  <c r="E113" i="20"/>
  <c r="T47" i="20"/>
  <c r="B28" i="20"/>
  <c r="B76" i="20" s="1"/>
  <c r="D99" i="20"/>
  <c r="N57" i="20"/>
  <c r="N34" i="20" s="1"/>
  <c r="J71" i="20"/>
  <c r="D50" i="13"/>
  <c r="E48" i="13"/>
  <c r="E50" i="13" s="1"/>
  <c r="B70" i="13"/>
  <c r="AF62" i="20"/>
  <c r="AD62" i="20"/>
  <c r="AE62" i="20"/>
  <c r="B122" i="20"/>
  <c r="S66" i="20"/>
  <c r="B94" i="20"/>
  <c r="C28" i="20"/>
  <c r="K80" i="20"/>
  <c r="D108" i="20"/>
  <c r="X66" i="20"/>
  <c r="B136" i="20"/>
  <c r="I66" i="20"/>
  <c r="B82" i="13"/>
  <c r="H47" i="13"/>
  <c r="B54" i="13"/>
  <c r="B68" i="13"/>
  <c r="B75" i="13"/>
  <c r="B61" i="13"/>
  <c r="D113" i="20"/>
  <c r="O47" i="20"/>
  <c r="G50" i="13"/>
  <c r="B84" i="13"/>
  <c r="B63" i="13"/>
  <c r="C27" i="20"/>
  <c r="D122" i="20"/>
  <c r="F30" i="20"/>
  <c r="F28" i="20"/>
  <c r="X62" i="20" s="1"/>
  <c r="Z66" i="20"/>
  <c r="AE66" i="20"/>
  <c r="P66" i="20"/>
  <c r="T39" i="20"/>
  <c r="E28" i="20"/>
  <c r="S62" i="20" s="1"/>
  <c r="E27" i="20"/>
  <c r="E30" i="20"/>
  <c r="AE65" i="20" s="1"/>
  <c r="N66" i="20"/>
  <c r="B66" i="20"/>
  <c r="AA77" i="20"/>
  <c r="AA80" i="20"/>
  <c r="F3" i="20"/>
  <c r="E99" i="20"/>
  <c r="S57" i="20"/>
  <c r="S34" i="20" s="1"/>
  <c r="E127" i="20"/>
  <c r="E26" i="20"/>
  <c r="R71" i="20"/>
  <c r="K85" i="20"/>
  <c r="B53" i="13"/>
  <c r="B48" i="13"/>
  <c r="B81" i="13"/>
  <c r="B67" i="13"/>
  <c r="B74" i="13"/>
  <c r="B60" i="13"/>
  <c r="H46" i="13"/>
  <c r="G30" i="20"/>
  <c r="H49" i="13"/>
  <c r="F27" i="20"/>
  <c r="O40" i="20"/>
  <c r="D28" i="20"/>
  <c r="D66" i="20"/>
  <c r="D136" i="20"/>
  <c r="D94" i="20"/>
  <c r="AC78" i="20"/>
  <c r="U66" i="20"/>
  <c r="U65" i="20"/>
  <c r="K94" i="20"/>
  <c r="K66" i="20"/>
  <c r="Q80" i="20"/>
  <c r="I94" i="20"/>
  <c r="B80" i="20"/>
  <c r="C36" i="20"/>
  <c r="B27" i="20"/>
  <c r="B30" i="20"/>
  <c r="G29" i="20"/>
  <c r="B56" i="13"/>
  <c r="C48" i="13"/>
  <c r="C50" i="13" s="1"/>
  <c r="B77" i="13"/>
  <c r="C30" i="20"/>
  <c r="D30" i="20"/>
  <c r="P65" i="20" s="1"/>
  <c r="E80" i="13" l="1"/>
  <c r="E66" i="13"/>
  <c r="E73" i="13"/>
  <c r="F1" i="13"/>
  <c r="F45" i="13" s="1"/>
  <c r="G2" i="15"/>
  <c r="B62" i="20"/>
  <c r="D29" i="20"/>
  <c r="D31" i="20" s="1"/>
  <c r="G31" i="20"/>
  <c r="AD77" i="20"/>
  <c r="AD78" i="20" s="1"/>
  <c r="B121" i="20"/>
  <c r="D135" i="20"/>
  <c r="Q79" i="20"/>
  <c r="D65" i="20"/>
  <c r="B90" i="20"/>
  <c r="H28" i="20"/>
  <c r="AA78" i="20"/>
  <c r="D76" i="20"/>
  <c r="E76" i="20"/>
  <c r="C76" i="20"/>
  <c r="T62" i="20"/>
  <c r="V62" i="20"/>
  <c r="U62" i="20"/>
  <c r="Y62" i="20"/>
  <c r="AA62" i="20"/>
  <c r="Z62" i="20"/>
  <c r="P61" i="20"/>
  <c r="O61" i="20"/>
  <c r="Q61" i="20"/>
  <c r="I65" i="20"/>
  <c r="X65" i="20"/>
  <c r="K79" i="20"/>
  <c r="E29" i="20"/>
  <c r="E31" i="20" s="1"/>
  <c r="S61" i="20"/>
  <c r="X61" i="20"/>
  <c r="AA79" i="20"/>
  <c r="AA81" i="20" s="1"/>
  <c r="AA82" i="20" s="1"/>
  <c r="B132" i="20"/>
  <c r="B104" i="20"/>
  <c r="L93" i="20"/>
  <c r="J65" i="20"/>
  <c r="J93" i="20"/>
  <c r="J79" i="20"/>
  <c r="L65" i="20"/>
  <c r="L79" i="20"/>
  <c r="I79" i="20"/>
  <c r="O65" i="20"/>
  <c r="AA65" i="20"/>
  <c r="AB79" i="20"/>
  <c r="AB81" i="20" s="1"/>
  <c r="AB82" i="20" s="1"/>
  <c r="T79" i="20"/>
  <c r="AD79" i="20"/>
  <c r="AD81" i="20" s="1"/>
  <c r="AD82" i="20" s="1"/>
  <c r="Y65" i="20"/>
  <c r="AC79" i="20"/>
  <c r="AC81" i="20" s="1"/>
  <c r="AC82" i="20" s="1"/>
  <c r="S79" i="20"/>
  <c r="Q65" i="20"/>
  <c r="R79" i="20"/>
  <c r="B29" i="20"/>
  <c r="B89" i="20"/>
  <c r="B61" i="20"/>
  <c r="B75" i="20"/>
  <c r="H27" i="20"/>
  <c r="B131" i="20"/>
  <c r="B117" i="20"/>
  <c r="B103" i="20"/>
  <c r="N62" i="20"/>
  <c r="Q76" i="20"/>
  <c r="F29" i="20"/>
  <c r="F31" i="20" s="1"/>
  <c r="AC61" i="20"/>
  <c r="D62" i="20"/>
  <c r="E62" i="20"/>
  <c r="C62" i="20"/>
  <c r="V65" i="20"/>
  <c r="T65" i="20"/>
  <c r="AD65" i="20"/>
  <c r="AF65" i="20"/>
  <c r="AC65" i="20"/>
  <c r="I90" i="20"/>
  <c r="I76" i="20"/>
  <c r="I62" i="20"/>
  <c r="I93" i="20"/>
  <c r="B79" i="20"/>
  <c r="K65" i="20"/>
  <c r="D121" i="20"/>
  <c r="S65" i="20"/>
  <c r="Q75" i="20"/>
  <c r="E65" i="20"/>
  <c r="C79" i="20"/>
  <c r="C93" i="20"/>
  <c r="H30" i="20"/>
  <c r="E135" i="20"/>
  <c r="C121" i="20"/>
  <c r="C65" i="20"/>
  <c r="C107" i="20"/>
  <c r="E107" i="20"/>
  <c r="E93" i="20"/>
  <c r="E79" i="20"/>
  <c r="C135" i="20"/>
  <c r="B107" i="20"/>
  <c r="E121" i="20"/>
  <c r="D79" i="20"/>
  <c r="B62" i="13"/>
  <c r="B50" i="13"/>
  <c r="B76" i="13"/>
  <c r="B83" i="13"/>
  <c r="B55" i="13"/>
  <c r="H48" i="13"/>
  <c r="B69" i="13"/>
  <c r="F127" i="20"/>
  <c r="X57" i="20"/>
  <c r="X34" i="20" s="1"/>
  <c r="G3" i="20"/>
  <c r="F26" i="20"/>
  <c r="AA71" i="20"/>
  <c r="D90" i="20"/>
  <c r="C90" i="20"/>
  <c r="E90" i="20"/>
  <c r="I61" i="20"/>
  <c r="I89" i="20"/>
  <c r="C29" i="20"/>
  <c r="I75" i="20"/>
  <c r="K93" i="20"/>
  <c r="D93" i="20"/>
  <c r="B65" i="20"/>
  <c r="N65" i="20"/>
  <c r="B118" i="20"/>
  <c r="Z65" i="20"/>
  <c r="B135" i="20"/>
  <c r="D107" i="20"/>
  <c r="B93" i="20"/>
  <c r="H2" i="15" l="1"/>
  <c r="G1" i="13"/>
  <c r="G45" i="13" s="1"/>
  <c r="G80" i="13" s="1"/>
  <c r="F80" i="13"/>
  <c r="F73" i="13"/>
  <c r="AE61" i="20"/>
  <c r="AE63" i="20" s="1"/>
  <c r="AF61" i="20"/>
  <c r="AF63" i="20" s="1"/>
  <c r="AD61" i="20"/>
  <c r="AD63" i="20" s="1"/>
  <c r="AC63" i="20"/>
  <c r="E103" i="20"/>
  <c r="D103" i="20"/>
  <c r="C103" i="20"/>
  <c r="B105" i="20"/>
  <c r="D75" i="20"/>
  <c r="D77" i="20" s="1"/>
  <c r="E75" i="20"/>
  <c r="E77" i="20" s="1"/>
  <c r="C75" i="20"/>
  <c r="C77" i="20" s="1"/>
  <c r="B77" i="20"/>
  <c r="C132" i="20"/>
  <c r="D132" i="20"/>
  <c r="E132" i="20"/>
  <c r="D118" i="20"/>
  <c r="E118" i="20"/>
  <c r="C118" i="20"/>
  <c r="H29" i="20"/>
  <c r="B31" i="20"/>
  <c r="C104" i="20"/>
  <c r="D104" i="20"/>
  <c r="E104" i="20"/>
  <c r="V61" i="20"/>
  <c r="V63" i="20" s="1"/>
  <c r="T61" i="20"/>
  <c r="T63" i="20" s="1"/>
  <c r="U61" i="20"/>
  <c r="U63" i="20" s="1"/>
  <c r="S63" i="20"/>
  <c r="J75" i="20"/>
  <c r="L75" i="20"/>
  <c r="K75" i="20"/>
  <c r="I77" i="20"/>
  <c r="L61" i="20"/>
  <c r="K61" i="20"/>
  <c r="J61" i="20"/>
  <c r="I63" i="20"/>
  <c r="T75" i="20"/>
  <c r="S75" i="20"/>
  <c r="R75" i="20"/>
  <c r="Q77" i="20"/>
  <c r="K90" i="20"/>
  <c r="J90" i="20"/>
  <c r="L90" i="20"/>
  <c r="O62" i="20"/>
  <c r="O63" i="20" s="1"/>
  <c r="P62" i="20"/>
  <c r="P63" i="20" s="1"/>
  <c r="Q62" i="20"/>
  <c r="Q63" i="20" s="1"/>
  <c r="N63" i="20"/>
  <c r="J89" i="20"/>
  <c r="L89" i="20"/>
  <c r="K89" i="20"/>
  <c r="I91" i="20"/>
  <c r="J76" i="20"/>
  <c r="L76" i="20"/>
  <c r="K76" i="20"/>
  <c r="R76" i="20"/>
  <c r="S76" i="20"/>
  <c r="T76" i="20"/>
  <c r="D131" i="20"/>
  <c r="D133" i="20" s="1"/>
  <c r="C131" i="20"/>
  <c r="E131" i="20"/>
  <c r="B133" i="20"/>
  <c r="B134" i="20" s="1"/>
  <c r="B137" i="20" s="1"/>
  <c r="B138" i="20" s="1"/>
  <c r="C89" i="20"/>
  <c r="C91" i="20" s="1"/>
  <c r="D89" i="20"/>
  <c r="D91" i="20" s="1"/>
  <c r="E89" i="20"/>
  <c r="E91" i="20" s="1"/>
  <c r="B91" i="20"/>
  <c r="Y61" i="20"/>
  <c r="Y63" i="20" s="1"/>
  <c r="Z61" i="20"/>
  <c r="Z63" i="20" s="1"/>
  <c r="AA61" i="20"/>
  <c r="AA63" i="20" s="1"/>
  <c r="X63" i="20"/>
  <c r="C31" i="20"/>
  <c r="G127" i="20"/>
  <c r="G26" i="20"/>
  <c r="AB71" i="20"/>
  <c r="AC57" i="20"/>
  <c r="AC34" i="20" s="1"/>
  <c r="B71" i="13"/>
  <c r="B64" i="13"/>
  <c r="B57" i="13"/>
  <c r="B78" i="13"/>
  <c r="B85" i="13"/>
  <c r="H50" i="13"/>
  <c r="L62" i="20"/>
  <c r="K62" i="20"/>
  <c r="J62" i="20"/>
  <c r="D117" i="20"/>
  <c r="C117" i="20"/>
  <c r="C119" i="20" s="1"/>
  <c r="E117" i="20"/>
  <c r="B119" i="20"/>
  <c r="D61" i="20"/>
  <c r="D63" i="20" s="1"/>
  <c r="C61" i="20"/>
  <c r="C63" i="20" s="1"/>
  <c r="E61" i="20"/>
  <c r="E63" i="20" s="1"/>
  <c r="B63" i="20"/>
  <c r="D105" i="20" l="1"/>
  <c r="H31" i="20"/>
  <c r="L91" i="20"/>
  <c r="L95" i="20" s="1"/>
  <c r="L96" i="20" s="1"/>
  <c r="L63" i="20"/>
  <c r="L67" i="20" s="1"/>
  <c r="L68" i="20" s="1"/>
  <c r="E119" i="20"/>
  <c r="E120" i="20" s="1"/>
  <c r="E133" i="20"/>
  <c r="E134" i="20" s="1"/>
  <c r="J91" i="20"/>
  <c r="J95" i="20" s="1"/>
  <c r="J96" i="20" s="1"/>
  <c r="O67" i="20"/>
  <c r="O68" i="20" s="1"/>
  <c r="O64" i="20"/>
  <c r="E64" i="20"/>
  <c r="E67" i="20"/>
  <c r="E68" i="20" s="1"/>
  <c r="I67" i="20"/>
  <c r="I68" i="20" s="1"/>
  <c r="I64" i="20"/>
  <c r="B123" i="20"/>
  <c r="B124" i="20" s="1"/>
  <c r="B120" i="20"/>
  <c r="X67" i="20"/>
  <c r="X68" i="20" s="1"/>
  <c r="X64" i="20"/>
  <c r="B92" i="20"/>
  <c r="B95" i="20"/>
  <c r="B96" i="20" s="1"/>
  <c r="L64" i="20"/>
  <c r="V67" i="20"/>
  <c r="V68" i="20" s="1"/>
  <c r="V64" i="20"/>
  <c r="D81" i="20"/>
  <c r="D82" i="20" s="1"/>
  <c r="D78" i="20"/>
  <c r="AE67" i="20"/>
  <c r="AE68" i="20" s="1"/>
  <c r="AE64" i="20"/>
  <c r="T77" i="20"/>
  <c r="J77" i="20"/>
  <c r="E105" i="20"/>
  <c r="J92" i="20"/>
  <c r="S64" i="20"/>
  <c r="S67" i="20"/>
  <c r="S68" i="20" s="1"/>
  <c r="B67" i="20"/>
  <c r="B68" i="20" s="1"/>
  <c r="B64" i="20"/>
  <c r="Q67" i="20"/>
  <c r="Q68" i="20" s="1"/>
  <c r="Q64" i="20"/>
  <c r="D64" i="20"/>
  <c r="D67" i="20"/>
  <c r="D68" i="20" s="1"/>
  <c r="Y67" i="20"/>
  <c r="Y68" i="20" s="1"/>
  <c r="Y64" i="20"/>
  <c r="D134" i="20"/>
  <c r="D137" i="20"/>
  <c r="D138" i="20" s="1"/>
  <c r="T64" i="20"/>
  <c r="T67" i="20"/>
  <c r="T68" i="20" s="1"/>
  <c r="E78" i="20"/>
  <c r="E81" i="20"/>
  <c r="E82" i="20" s="1"/>
  <c r="D109" i="20"/>
  <c r="D110" i="20" s="1"/>
  <c r="D106" i="20"/>
  <c r="AF67" i="20"/>
  <c r="AF68" i="20" s="1"/>
  <c r="AF64" i="20"/>
  <c r="D119" i="20"/>
  <c r="K63" i="20"/>
  <c r="L77" i="20"/>
  <c r="E95" i="20"/>
  <c r="E96" i="20" s="1"/>
  <c r="E92" i="20"/>
  <c r="I78" i="20"/>
  <c r="I81" i="20"/>
  <c r="I82" i="20" s="1"/>
  <c r="C95" i="20"/>
  <c r="C96" i="20" s="1"/>
  <c r="C92" i="20"/>
  <c r="C67" i="20"/>
  <c r="C68" i="20" s="1"/>
  <c r="C64" i="20"/>
  <c r="C123" i="20"/>
  <c r="C124" i="20" s="1"/>
  <c r="C120" i="20"/>
  <c r="Z64" i="20"/>
  <c r="Z67" i="20"/>
  <c r="Z68" i="20" s="1"/>
  <c r="D95" i="20"/>
  <c r="D96" i="20" s="1"/>
  <c r="D92" i="20"/>
  <c r="I92" i="20"/>
  <c r="I95" i="20"/>
  <c r="I96" i="20" s="1"/>
  <c r="N64" i="20"/>
  <c r="N67" i="20"/>
  <c r="N68" i="20" s="1"/>
  <c r="U64" i="20"/>
  <c r="U67" i="20"/>
  <c r="U68" i="20" s="1"/>
  <c r="C81" i="20"/>
  <c r="C82" i="20" s="1"/>
  <c r="C78" i="20"/>
  <c r="AD67" i="20"/>
  <c r="AD68" i="20" s="1"/>
  <c r="AD64" i="20"/>
  <c r="K91" i="20"/>
  <c r="S77" i="20"/>
  <c r="C133" i="20"/>
  <c r="R77" i="20"/>
  <c r="J63" i="20"/>
  <c r="K77" i="20"/>
  <c r="C105" i="20"/>
  <c r="AA64" i="20"/>
  <c r="AA67" i="20"/>
  <c r="AA68" i="20" s="1"/>
  <c r="Q81" i="20"/>
  <c r="Q82" i="20" s="1"/>
  <c r="Q78" i="20"/>
  <c r="P67" i="20"/>
  <c r="P68" i="20" s="1"/>
  <c r="P64" i="20"/>
  <c r="B81" i="20"/>
  <c r="B82" i="20" s="1"/>
  <c r="B78" i="20"/>
  <c r="B106" i="20"/>
  <c r="B109" i="20"/>
  <c r="B110" i="20" s="1"/>
  <c r="AC64" i="20"/>
  <c r="AC67" i="20"/>
  <c r="AC68" i="20" s="1"/>
  <c r="L92" i="20" l="1"/>
  <c r="E137" i="20"/>
  <c r="E138" i="20" s="1"/>
  <c r="E123" i="20"/>
  <c r="E124" i="20" s="1"/>
  <c r="T78" i="20"/>
  <c r="T81" i="20"/>
  <c r="T82" i="20" s="1"/>
  <c r="J81" i="20"/>
  <c r="J82" i="20" s="1"/>
  <c r="J78" i="20"/>
  <c r="J64" i="20"/>
  <c r="J67" i="20"/>
  <c r="J68" i="20" s="1"/>
  <c r="K95" i="20"/>
  <c r="K96" i="20" s="1"/>
  <c r="K92" i="20"/>
  <c r="S78" i="20"/>
  <c r="S81" i="20"/>
  <c r="S82" i="20" s="1"/>
  <c r="C106" i="20"/>
  <c r="C109" i="20"/>
  <c r="C110" i="20" s="1"/>
  <c r="E106" i="20"/>
  <c r="E109" i="20"/>
  <c r="E110" i="20" s="1"/>
  <c r="L78" i="20"/>
  <c r="L81" i="20"/>
  <c r="L82" i="20" s="1"/>
  <c r="K78" i="20"/>
  <c r="K81" i="20"/>
  <c r="K82" i="20" s="1"/>
  <c r="C134" i="20"/>
  <c r="C137" i="20"/>
  <c r="C138" i="20" s="1"/>
  <c r="D123" i="20"/>
  <c r="D124" i="20" s="1"/>
  <c r="D120" i="20"/>
  <c r="R78" i="20"/>
  <c r="R81" i="20"/>
  <c r="R82" i="20" s="1"/>
  <c r="K67" i="20"/>
  <c r="K68" i="20" s="1"/>
  <c r="K64" i="20"/>
</calcChain>
</file>

<file path=xl/sharedStrings.xml><?xml version="1.0" encoding="utf-8"?>
<sst xmlns="http://schemas.openxmlformats.org/spreadsheetml/2006/main" count="445" uniqueCount="156">
  <si>
    <t>Single</t>
  </si>
  <si>
    <t>Double</t>
  </si>
  <si>
    <t>Triple</t>
  </si>
  <si>
    <t>Quad</t>
  </si>
  <si>
    <t xml:space="preserve">Double </t>
  </si>
  <si>
    <t xml:space="preserve">SINGLE  </t>
  </si>
  <si>
    <t xml:space="preserve">DOUBLE  </t>
  </si>
  <si>
    <t xml:space="preserve">TRIPLE  </t>
  </si>
  <si>
    <t xml:space="preserve">QUADRUPLE  </t>
  </si>
  <si>
    <t xml:space="preserve">PER NIGHT - PER PERSON  </t>
  </si>
  <si>
    <t xml:space="preserve">TOTAL STAY - PER PERSON  </t>
  </si>
  <si>
    <t xml:space="preserve">State Sales Tax  </t>
  </si>
  <si>
    <t xml:space="preserve">County Occupancy Tax  </t>
  </si>
  <si>
    <t xml:space="preserve">PER NIGHT - PER ROOM  </t>
  </si>
  <si>
    <t xml:space="preserve">TOTAL STAY - PER ROOM  </t>
  </si>
  <si>
    <t>p/p</t>
  </si>
  <si>
    <t>TAX</t>
  </si>
  <si>
    <t>GROUP LOAD</t>
  </si>
  <si>
    <t>ROOM RATE</t>
  </si>
  <si>
    <t>N</t>
  </si>
  <si>
    <t xml:space="preserve">Tax Exempt ?  </t>
  </si>
  <si>
    <t xml:space="preserve"> ( Y or N)</t>
  </si>
  <si>
    <t>TOTAL</t>
  </si>
  <si>
    <t xml:space="preserve">  DAYTRIPPER TOTAL WITHOUT TAX  </t>
  </si>
  <si>
    <t xml:space="preserve">  DAYTRIPPER TOTAL WITH TAX  </t>
  </si>
  <si>
    <t xml:space="preserve">  PACKAGE SALES TAX  </t>
  </si>
  <si>
    <t xml:space="preserve">  PACKAGE SUBTOTAL  </t>
  </si>
  <si>
    <t xml:space="preserve">  PACKAGE GRATUITY  </t>
  </si>
  <si>
    <t>PACKAGE INCLUDES:</t>
  </si>
  <si>
    <t xml:space="preserve">BREAKFAST </t>
  </si>
  <si>
    <t xml:space="preserve">AM BREAK </t>
  </si>
  <si>
    <t xml:space="preserve">AM BREAK REFRESH </t>
  </si>
  <si>
    <t xml:space="preserve">LUNCH </t>
  </si>
  <si>
    <t xml:space="preserve">PM BREAK REFRESH </t>
  </si>
  <si>
    <t xml:space="preserve">RECEPTION FOOD </t>
  </si>
  <si>
    <t xml:space="preserve">RECEPTION BEVERAGE </t>
  </si>
  <si>
    <t>OVERNIGHT PACKAGE NOTE:  Items will not always appear on the day it actually happens.</t>
  </si>
  <si>
    <t xml:space="preserve">OTHER FOOD </t>
  </si>
  <si>
    <t xml:space="preserve">MEETING RM RENTAL </t>
  </si>
  <si>
    <t xml:space="preserve"> ( Y or N )</t>
  </si>
  <si>
    <t>PACKAGE ITEMS</t>
  </si>
  <si>
    <t>GROUP NAME</t>
  </si>
  <si>
    <t xml:space="preserve">Subtotal </t>
  </si>
  <si>
    <t xml:space="preserve">MISC. 2 (TAXED ONLY) </t>
  </si>
  <si>
    <t xml:space="preserve">MISC. 1 (TAXED ONLY) </t>
  </si>
  <si>
    <t xml:space="preserve">OFF-SITE MEAL </t>
  </si>
  <si>
    <t xml:space="preserve">AM Break </t>
  </si>
  <si>
    <t xml:space="preserve">Lunch </t>
  </si>
  <si>
    <t xml:space="preserve">Breakfast </t>
  </si>
  <si>
    <t xml:space="preserve">AM Break Refresh </t>
  </si>
  <si>
    <t xml:space="preserve">PM Break </t>
  </si>
  <si>
    <t xml:space="preserve">PM Break Refresh </t>
  </si>
  <si>
    <t xml:space="preserve">Reception Food </t>
  </si>
  <si>
    <t xml:space="preserve">Reception Beverage </t>
  </si>
  <si>
    <t xml:space="preserve">AM Break - Tomorrow </t>
  </si>
  <si>
    <t xml:space="preserve">AM Break Refresh - Tomorrow </t>
  </si>
  <si>
    <t xml:space="preserve">Other Food 2 </t>
  </si>
  <si>
    <t xml:space="preserve">Other Food 1 </t>
  </si>
  <si>
    <t xml:space="preserve">Off-Site Food </t>
  </si>
  <si>
    <t xml:space="preserve">MISC. 1 (Taxed Only) </t>
  </si>
  <si>
    <t xml:space="preserve">MISC. 2 (Taxed Only) </t>
  </si>
  <si>
    <t xml:space="preserve">Meeting Room Rental </t>
  </si>
  <si>
    <t xml:space="preserve">Gratuity </t>
  </si>
  <si>
    <t xml:space="preserve">Sales Tax </t>
  </si>
  <si>
    <t xml:space="preserve">Package Items </t>
  </si>
  <si>
    <t xml:space="preserve">Total </t>
  </si>
  <si>
    <t xml:space="preserve">Breakfast - Tomorrow </t>
  </si>
  <si>
    <t xml:space="preserve">Group Load </t>
  </si>
  <si>
    <t xml:space="preserve">Room Rate </t>
  </si>
  <si>
    <t xml:space="preserve">Banquet Gratuity </t>
  </si>
  <si>
    <t xml:space="preserve">State Sales Tax </t>
  </si>
  <si>
    <t xml:space="preserve">County Occupancy Tax </t>
  </si>
  <si>
    <t xml:space="preserve">Total Per Person </t>
  </si>
  <si>
    <t xml:space="preserve">Total Per Room </t>
  </si>
  <si>
    <t xml:space="preserve">Overnight - 2 Night Packages  </t>
  </si>
  <si>
    <t xml:space="preserve">Overnight - 3 Night Packages  </t>
  </si>
  <si>
    <t xml:space="preserve">Overnight - 4 Night Package  </t>
  </si>
  <si>
    <t xml:space="preserve">Overnight - 1 Night Packages  </t>
  </si>
  <si>
    <t xml:space="preserve">  OVERNIGHT   PACKAGE ELEMENTS</t>
  </si>
  <si>
    <t>PLEASE DO NOT CHANGE ANYTHING ON THIS PAGE, WHEN THE CELLS ARE LOCKED, YOU CAN'T PRESS THE BUTTONS.</t>
  </si>
  <si>
    <t xml:space="preserve">Dinner  </t>
  </si>
  <si>
    <t xml:space="preserve">Beverage  </t>
  </si>
  <si>
    <t xml:space="preserve">DINNER </t>
  </si>
  <si>
    <t xml:space="preserve">BEVERAGE </t>
  </si>
  <si>
    <t xml:space="preserve">Subtotal Per Person </t>
  </si>
  <si>
    <t xml:space="preserve"> </t>
  </si>
  <si>
    <t xml:space="preserve">Lunch - Tomorrow </t>
  </si>
  <si>
    <t xml:space="preserve">PM Break - Tomorrow </t>
  </si>
  <si>
    <t xml:space="preserve">Overnight - 6 Night Package  </t>
  </si>
  <si>
    <t xml:space="preserve">Overnight - 5 Night Package  </t>
  </si>
  <si>
    <t>Package Price</t>
  </si>
  <si>
    <t>Total With Tax</t>
  </si>
  <si>
    <t>Name:</t>
  </si>
  <si>
    <t>Arrival Date:</t>
  </si>
  <si>
    <t>Departure Date:</t>
  </si>
  <si>
    <t>Address:</t>
  </si>
  <si>
    <t>Phone Number :</t>
  </si>
  <si>
    <t>Email Address:</t>
  </si>
  <si>
    <t>Credit Card Type</t>
  </si>
  <si>
    <t>Credit Card #</t>
  </si>
  <si>
    <t>Expiration Date:</t>
  </si>
  <si>
    <t>Name on Card</t>
  </si>
  <si>
    <t xml:space="preserve">          _____ American Express          _____Diners Club          _____Discover          _____Visa          _____Master Card</t>
  </si>
  <si>
    <t>Please Circle your Package Choice</t>
  </si>
  <si>
    <t>5 Per Night (moved over to Meeting Room Rental)</t>
  </si>
  <si>
    <t>PM BREAK - Soft Drinks &amp; Bottled Water</t>
  </si>
  <si>
    <t>______ 1 Queen Bed</t>
  </si>
  <si>
    <t>______ 2 Double Beds</t>
  </si>
  <si>
    <t>______ 1 King Bed</t>
  </si>
  <si>
    <t>A La Carte Room Nights:  If you are not purchasing the entire package, or will be staying an extra night(s), Please select your nights</t>
  </si>
  <si>
    <t>Nightly Rate</t>
  </si>
  <si>
    <t>Select room type  / Not Guaranteed</t>
  </si>
  <si>
    <t>Select room type / Not Guaranteed</t>
  </si>
  <si>
    <t>Double Occ. (Per Person)</t>
  </si>
  <si>
    <t>Single Occ.</t>
  </si>
  <si>
    <t xml:space="preserve">   Select Nights</t>
  </si>
  <si>
    <t xml:space="preserve">   _____ Sunday</t>
  </si>
  <si>
    <t xml:space="preserve">   _____ Monday</t>
  </si>
  <si>
    <t xml:space="preserve">   _____ Tuesday</t>
  </si>
  <si>
    <t xml:space="preserve">   _____ Wednesday</t>
  </si>
  <si>
    <t>Sales &amp; Occ. Taxes</t>
  </si>
  <si>
    <t>________ I have attached a completed NYS Tax Exemption Form and am requesting tax exempt rates.</t>
  </si>
  <si>
    <t>Please Circle your room plan</t>
  </si>
  <si>
    <t xml:space="preserve">Room Mate 1: </t>
  </si>
  <si>
    <t xml:space="preserve">Room Mate 2: </t>
  </si>
  <si>
    <t>One registration form is required for each attendee in the room.  Please have your room mate complete their own form, listing you as their share.</t>
  </si>
  <si>
    <t>If your room mate is simply sharing the room and is not attending session or meals, check here ______, no other forms are required.</t>
  </si>
  <si>
    <t>Smoking is not permitted in the Radisson</t>
  </si>
  <si>
    <t>Reservation Form</t>
  </si>
  <si>
    <t>NYS Association of Self Insured Counties</t>
  </si>
  <si>
    <t>Breakfast Buffet</t>
  </si>
  <si>
    <r>
      <t>2 NIGHT PACKAGE</t>
    </r>
    <r>
      <rPr>
        <b/>
        <sz val="16"/>
        <rFont val="Calibri"/>
        <family val="2"/>
      </rPr>
      <t>:</t>
    </r>
    <r>
      <rPr>
        <b/>
        <sz val="14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 xml:space="preserve">    Accommodations for Wednesday &amp; Thursday Nights;  with the following meals and gratuities.</t>
    </r>
  </si>
  <si>
    <t>Dinner Buffet</t>
  </si>
  <si>
    <r>
      <t>WED NIGHT PKG</t>
    </r>
    <r>
      <rPr>
        <b/>
        <sz val="16"/>
        <rFont val="Calibri"/>
        <family val="2"/>
      </rPr>
      <t>:</t>
    </r>
    <r>
      <rPr>
        <b/>
        <sz val="14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 xml:space="preserve">       Accommodations for Wednesday Night;  with the following meals and gratuities.</t>
    </r>
  </si>
  <si>
    <r>
      <t>THU NIGHT PKG</t>
    </r>
    <r>
      <rPr>
        <b/>
        <sz val="16"/>
        <rFont val="Calibri"/>
        <family val="2"/>
      </rPr>
      <t>:</t>
    </r>
    <r>
      <rPr>
        <b/>
        <sz val="14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 xml:space="preserve">          Accommodations for Thursday Night;  with the following meals and gratuities.</t>
    </r>
  </si>
  <si>
    <t>Breakfast Buffet &amp; * Served Dinner</t>
  </si>
  <si>
    <t>* Served Dinner</t>
  </si>
  <si>
    <t>Wednesday Night</t>
  </si>
  <si>
    <t>Wednesday &amp; Thursday Nights</t>
  </si>
  <si>
    <t>______ 2 Queen Beds</t>
  </si>
  <si>
    <t>Best Western Plus Oswego Hotel and Conference Center</t>
  </si>
  <si>
    <t>26 East First Street, Oswego NY 13126</t>
  </si>
  <si>
    <t>Tel (315) 342-4040       Fax (315) 342-5454</t>
  </si>
  <si>
    <t>______ 1 King or Queen Bed</t>
  </si>
  <si>
    <t>Best Western Plus is completely smoke free</t>
  </si>
  <si>
    <t>Package Price with tax</t>
  </si>
  <si>
    <t>Package Price tax exempt</t>
  </si>
  <si>
    <t xml:space="preserve">  </t>
  </si>
  <si>
    <r>
      <t xml:space="preserve">                                                                     Please select * Thursday Dinner Choice:   _____Veg      </t>
    </r>
    <r>
      <rPr>
        <b/>
        <sz val="13.5"/>
        <color indexed="12"/>
        <rFont val="Calibri"/>
        <family val="2"/>
      </rPr>
      <t xml:space="preserve"> _____ Beef    _____ Fish    _____ Chicken     </t>
    </r>
  </si>
  <si>
    <t xml:space="preserve">All reservations must be secured with a credit card, purchase order or prepayment of check or money order made payable to "Best Western Plus Oswego".  </t>
  </si>
  <si>
    <t>Email:  sarah@bhgmail.com</t>
  </si>
  <si>
    <t>Thursday Night</t>
  </si>
  <si>
    <t>May 1 - 3, 2024</t>
  </si>
  <si>
    <r>
      <t xml:space="preserve">Reservations are on a first-come, first serve basis.  No phone reservations, </t>
    </r>
    <r>
      <rPr>
        <b/>
        <sz val="18"/>
        <color indexed="8"/>
        <rFont val="Calibri"/>
        <family val="2"/>
      </rPr>
      <t xml:space="preserve">this form must be received by April 15, 2024. </t>
    </r>
    <r>
      <rPr>
        <sz val="18"/>
        <color indexed="8"/>
        <rFont val="Calibri"/>
        <family val="2"/>
      </rPr>
      <t xml:space="preserve"> Emailling this does not guarantee that you will have a room at the Best Western Plus Oswego Hotel and Conference Center.  E-mail this form to sarah@bhgmail.com at the Best Western Plus Oswego Hotel Corning. Your e-mailed confirmation should arrive within 3 business days.     Check-in:  3 PM          Check-out:  11 AM</t>
    </r>
  </si>
  <si>
    <t xml:space="preserve">Checks must be received by April 15, 2024.   Reservation received with no form of guarantee will not be accepted.  </t>
  </si>
  <si>
    <t>Cancellations must be received by 4:00 pm Monday April 29, 2024 to avoid a cancellation fee of $200 per person.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</si>
</sst>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ddd\ m/d"/>
    <numFmt numFmtId="166" formatCode="ddd\ m/d/yy"/>
    <numFmt numFmtId="167" formatCode="ddd\.\ \ mmm\.\ dd"/>
  </numFmts>
  <fonts count="5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63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63"/>
      <name val="Arial"/>
      <family val="2"/>
    </font>
    <font>
      <b/>
      <sz val="9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3.5"/>
      <color indexed="12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sz val="13"/>
      <color rgb="FF0000FF"/>
      <name val="Calibri"/>
      <family val="2"/>
      <scheme val="minor"/>
    </font>
    <font>
      <b/>
      <u/>
      <sz val="13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3.5"/>
      <color rgb="FF0000FF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.5"/>
      <color rgb="FF0000FF"/>
      <name val="Calibri"/>
      <family val="2"/>
      <scheme val="minor"/>
    </font>
    <font>
      <i/>
      <sz val="13.5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.5"/>
      <name val="Calibri"/>
      <family val="2"/>
      <scheme val="minor"/>
    </font>
    <font>
      <sz val="13.5"/>
      <name val="Calibri"/>
      <family val="2"/>
      <scheme val="minor"/>
    </font>
    <font>
      <sz val="18"/>
      <color theme="1"/>
      <name val="Calibri"/>
      <family val="2"/>
      <scheme val="minor"/>
    </font>
    <font>
      <sz val="15.5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3.5"/>
      <color rgb="FFFF0000"/>
      <name val="Calibri"/>
      <family val="2"/>
      <scheme val="minor"/>
    </font>
    <font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6" fillId="0" borderId="0"/>
  </cellStyleXfs>
  <cellXfs count="535">
    <xf numFmtId="0" fontId="0" fillId="0" borderId="0" xfId="0"/>
    <xf numFmtId="0" fontId="3" fillId="2" borderId="0" xfId="0" applyFont="1" applyFill="1" applyBorder="1" applyAlignment="1" applyProtection="1">
      <alignment horizontal="right"/>
    </xf>
    <xf numFmtId="40" fontId="0" fillId="2" borderId="0" xfId="0" applyNumberFormat="1" applyFill="1" applyBorder="1" applyProtection="1"/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3" fillId="2" borderId="1" xfId="0" applyFont="1" applyFill="1" applyBorder="1" applyAlignment="1" applyProtection="1">
      <alignment horizontal="right"/>
    </xf>
    <xf numFmtId="8" fontId="3" fillId="2" borderId="0" xfId="0" applyNumberFormat="1" applyFont="1" applyFill="1" applyBorder="1" applyProtection="1"/>
    <xf numFmtId="44" fontId="2" fillId="2" borderId="0" xfId="1" applyFont="1" applyFill="1" applyBorder="1" applyProtection="1"/>
    <xf numFmtId="10" fontId="1" fillId="2" borderId="2" xfId="0" applyNumberFormat="1" applyFont="1" applyFill="1" applyBorder="1" applyAlignment="1" applyProtection="1">
      <alignment horizontal="right"/>
    </xf>
    <xf numFmtId="40" fontId="3" fillId="2" borderId="3" xfId="0" applyNumberFormat="1" applyFont="1" applyFill="1" applyBorder="1" applyAlignment="1" applyProtection="1">
      <alignment horizontal="center"/>
    </xf>
    <xf numFmtId="40" fontId="2" fillId="3" borderId="4" xfId="0" applyNumberFormat="1" applyFont="1" applyFill="1" applyBorder="1" applyAlignment="1" applyProtection="1">
      <alignment horizontal="right"/>
    </xf>
    <xf numFmtId="8" fontId="3" fillId="3" borderId="5" xfId="0" applyNumberFormat="1" applyFont="1" applyFill="1" applyBorder="1" applyProtection="1"/>
    <xf numFmtId="0" fontId="2" fillId="2" borderId="1" xfId="0" applyFont="1" applyFill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6" fillId="2" borderId="1" xfId="0" applyFont="1" applyFill="1" applyBorder="1" applyAlignment="1" applyProtection="1">
      <alignment horizontal="right"/>
    </xf>
    <xf numFmtId="0" fontId="0" fillId="2" borderId="6" xfId="0" applyFill="1" applyBorder="1" applyProtection="1"/>
    <xf numFmtId="0" fontId="2" fillId="2" borderId="0" xfId="0" applyFont="1" applyFill="1" applyBorder="1" applyAlignment="1" applyProtection="1">
      <alignment horizontal="right"/>
    </xf>
    <xf numFmtId="8" fontId="2" fillId="2" borderId="9" xfId="1" applyNumberFormat="1" applyFont="1" applyFill="1" applyBorder="1" applyAlignment="1" applyProtection="1">
      <alignment horizontal="center"/>
    </xf>
    <xf numFmtId="8" fontId="2" fillId="2" borderId="0" xfId="1" applyNumberFormat="1" applyFont="1" applyFill="1" applyBorder="1" applyAlignment="1" applyProtection="1">
      <alignment horizontal="center"/>
    </xf>
    <xf numFmtId="8" fontId="7" fillId="4" borderId="12" xfId="1" applyNumberFormat="1" applyFont="1" applyFill="1" applyBorder="1" applyAlignment="1" applyProtection="1">
      <alignment horizontal="center"/>
    </xf>
    <xf numFmtId="8" fontId="7" fillId="2" borderId="12" xfId="1" applyNumberFormat="1" applyFont="1" applyFill="1" applyBorder="1" applyAlignment="1" applyProtection="1">
      <alignment horizontal="center"/>
    </xf>
    <xf numFmtId="40" fontId="3" fillId="2" borderId="6" xfId="0" applyNumberFormat="1" applyFont="1" applyFill="1" applyBorder="1" applyAlignment="1" applyProtection="1">
      <alignment horizontal="center"/>
    </xf>
    <xf numFmtId="165" fontId="0" fillId="3" borderId="0" xfId="0" applyNumberFormat="1" applyFill="1" applyAlignment="1" applyProtection="1">
      <alignment horizontal="center"/>
    </xf>
    <xf numFmtId="165" fontId="0" fillId="5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8" fontId="2" fillId="2" borderId="0" xfId="1" applyNumberFormat="1" applyFont="1" applyFill="1" applyBorder="1" applyAlignment="1" applyProtection="1">
      <alignment horizontal="right"/>
    </xf>
    <xf numFmtId="165" fontId="0" fillId="5" borderId="0" xfId="0" applyNumberFormat="1" applyFill="1" applyBorder="1" applyAlignment="1" applyProtection="1">
      <alignment horizontal="center"/>
    </xf>
    <xf numFmtId="165" fontId="12" fillId="2" borderId="0" xfId="0" applyNumberFormat="1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/>
    <xf numFmtId="8" fontId="0" fillId="2" borderId="0" xfId="0" applyNumberFormat="1" applyFill="1" applyBorder="1" applyAlignment="1" applyProtection="1"/>
    <xf numFmtId="165" fontId="1" fillId="2" borderId="0" xfId="0" applyNumberFormat="1" applyFont="1" applyFill="1" applyBorder="1" applyAlignment="1" applyProtection="1">
      <alignment horizontal="center"/>
    </xf>
    <xf numFmtId="0" fontId="0" fillId="5" borderId="14" xfId="0" applyFill="1" applyBorder="1" applyAlignment="1" applyProtection="1"/>
    <xf numFmtId="0" fontId="0" fillId="5" borderId="1" xfId="0" applyFill="1" applyBorder="1" applyProtection="1"/>
    <xf numFmtId="165" fontId="0" fillId="5" borderId="1" xfId="0" applyNumberFormat="1" applyFill="1" applyBorder="1" applyAlignment="1" applyProtection="1">
      <alignment horizontal="center"/>
    </xf>
    <xf numFmtId="8" fontId="0" fillId="5" borderId="1" xfId="0" applyNumberFormat="1" applyFill="1" applyBorder="1" applyAlignment="1" applyProtection="1"/>
    <xf numFmtId="8" fontId="0" fillId="5" borderId="15" xfId="0" applyNumberFormat="1" applyFill="1" applyBorder="1" applyAlignment="1" applyProtection="1"/>
    <xf numFmtId="0" fontId="0" fillId="3" borderId="13" xfId="0" applyFill="1" applyBorder="1" applyProtection="1"/>
    <xf numFmtId="0" fontId="0" fillId="3" borderId="14" xfId="0" applyFill="1" applyBorder="1" applyProtection="1"/>
    <xf numFmtId="0" fontId="0" fillId="3" borderId="0" xfId="0" applyFill="1" applyBorder="1" applyProtection="1"/>
    <xf numFmtId="0" fontId="0" fillId="3" borderId="1" xfId="0" applyFill="1" applyBorder="1" applyProtection="1"/>
    <xf numFmtId="0" fontId="0" fillId="3" borderId="3" xfId="0" applyFill="1" applyBorder="1" applyProtection="1"/>
    <xf numFmtId="0" fontId="0" fillId="3" borderId="15" xfId="0" applyFill="1" applyBorder="1" applyProtection="1"/>
    <xf numFmtId="8" fontId="0" fillId="5" borderId="6" xfId="0" applyNumberFormat="1" applyFill="1" applyBorder="1" applyAlignment="1" applyProtection="1">
      <alignment horizontal="right"/>
    </xf>
    <xf numFmtId="8" fontId="0" fillId="5" borderId="0" xfId="0" applyNumberFormat="1" applyFill="1" applyBorder="1" applyAlignment="1" applyProtection="1">
      <alignment horizontal="left"/>
    </xf>
    <xf numFmtId="8" fontId="0" fillId="3" borderId="0" xfId="0" applyNumberFormat="1" applyFill="1" applyBorder="1" applyAlignment="1" applyProtection="1">
      <alignment horizontal="left"/>
    </xf>
    <xf numFmtId="165" fontId="0" fillId="2" borderId="0" xfId="0" applyNumberFormat="1" applyFill="1" applyAlignment="1" applyProtection="1">
      <alignment horizontal="left"/>
    </xf>
    <xf numFmtId="0" fontId="0" fillId="2" borderId="3" xfId="0" applyFill="1" applyBorder="1" applyProtection="1"/>
    <xf numFmtId="165" fontId="0" fillId="3" borderId="16" xfId="0" applyNumberFormat="1" applyFill="1" applyBorder="1" applyAlignment="1" applyProtection="1">
      <alignment horizontal="center"/>
    </xf>
    <xf numFmtId="165" fontId="0" fillId="5" borderId="16" xfId="0" applyNumberFormat="1" applyFill="1" applyBorder="1" applyAlignment="1" applyProtection="1">
      <alignment horizontal="center"/>
    </xf>
    <xf numFmtId="8" fontId="0" fillId="2" borderId="3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/>
    <xf numFmtId="0" fontId="0" fillId="2" borderId="1" xfId="0" applyFill="1" applyBorder="1" applyProtection="1"/>
    <xf numFmtId="0" fontId="0" fillId="5" borderId="3" xfId="0" applyFill="1" applyBorder="1" applyProtection="1"/>
    <xf numFmtId="165" fontId="0" fillId="3" borderId="0" xfId="0" applyNumberFormat="1" applyFill="1" applyBorder="1" applyAlignment="1" applyProtection="1">
      <alignment horizontal="center"/>
    </xf>
    <xf numFmtId="40" fontId="3" fillId="2" borderId="0" xfId="0" applyNumberFormat="1" applyFont="1" applyFill="1" applyBorder="1" applyAlignment="1" applyProtection="1">
      <alignment horizontal="center"/>
    </xf>
    <xf numFmtId="8" fontId="6" fillId="2" borderId="19" xfId="1" applyNumberFormat="1" applyFont="1" applyFill="1" applyBorder="1" applyAlignment="1" applyProtection="1">
      <alignment horizontal="center"/>
    </xf>
    <xf numFmtId="8" fontId="7" fillId="2" borderId="0" xfId="1" applyNumberFormat="1" applyFont="1" applyFill="1" applyBorder="1" applyAlignment="1" applyProtection="1">
      <alignment horizontal="center"/>
    </xf>
    <xf numFmtId="10" fontId="1" fillId="2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0" fontId="10" fillId="2" borderId="20" xfId="0" applyFont="1" applyFill="1" applyBorder="1" applyAlignment="1" applyProtection="1">
      <alignment horizontal="right"/>
    </xf>
    <xf numFmtId="8" fontId="10" fillId="2" borderId="21" xfId="1" applyNumberFormat="1" applyFont="1" applyFill="1" applyBorder="1" applyProtection="1"/>
    <xf numFmtId="8" fontId="10" fillId="2" borderId="0" xfId="1" applyNumberFormat="1" applyFont="1" applyFill="1" applyBorder="1" applyProtection="1"/>
    <xf numFmtId="8" fontId="10" fillId="2" borderId="22" xfId="1" applyNumberFormat="1" applyFont="1" applyFill="1" applyBorder="1" applyProtection="1"/>
    <xf numFmtId="8" fontId="10" fillId="2" borderId="23" xfId="1" applyNumberFormat="1" applyFont="1" applyFill="1" applyBorder="1" applyProtection="1"/>
    <xf numFmtId="8" fontId="10" fillId="2" borderId="20" xfId="1" applyNumberFormat="1" applyFont="1" applyFill="1" applyBorder="1" applyProtection="1"/>
    <xf numFmtId="8" fontId="10" fillId="2" borderId="24" xfId="1" applyNumberFormat="1" applyFont="1" applyFill="1" applyBorder="1" applyProtection="1"/>
    <xf numFmtId="165" fontId="0" fillId="7" borderId="16" xfId="0" applyNumberFormat="1" applyFill="1" applyBorder="1" applyAlignment="1" applyProtection="1">
      <alignment horizontal="center"/>
    </xf>
    <xf numFmtId="165" fontId="0" fillId="7" borderId="0" xfId="0" applyNumberFormat="1" applyFill="1" applyAlignment="1" applyProtection="1">
      <alignment horizontal="center"/>
    </xf>
    <xf numFmtId="165" fontId="0" fillId="7" borderId="14" xfId="0" applyNumberFormat="1" applyFill="1" applyBorder="1" applyAlignment="1" applyProtection="1">
      <alignment horizontal="center"/>
    </xf>
    <xf numFmtId="8" fontId="0" fillId="7" borderId="1" xfId="0" applyNumberFormat="1" applyFill="1" applyBorder="1" applyAlignment="1" applyProtection="1">
      <alignment horizontal="left"/>
    </xf>
    <xf numFmtId="165" fontId="0" fillId="7" borderId="1" xfId="0" applyNumberFormat="1" applyFill="1" applyBorder="1" applyAlignment="1" applyProtection="1">
      <alignment horizontal="center"/>
    </xf>
    <xf numFmtId="0" fontId="0" fillId="7" borderId="15" xfId="0" applyFill="1" applyBorder="1" applyProtection="1"/>
    <xf numFmtId="0" fontId="13" fillId="2" borderId="0" xfId="0" applyFont="1" applyFill="1" applyAlignment="1" applyProtection="1">
      <alignment horizontal="right"/>
    </xf>
    <xf numFmtId="0" fontId="13" fillId="2" borderId="0" xfId="0" applyFont="1" applyFill="1" applyBorder="1" applyAlignment="1" applyProtection="1">
      <alignment horizontal="right"/>
    </xf>
    <xf numFmtId="0" fontId="13" fillId="2" borderId="0" xfId="0" applyFont="1" applyFill="1" applyProtection="1"/>
    <xf numFmtId="0" fontId="13" fillId="2" borderId="20" xfId="0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right"/>
    </xf>
    <xf numFmtId="8" fontId="6" fillId="2" borderId="0" xfId="1" applyNumberFormat="1" applyFont="1" applyFill="1" applyBorder="1" applyAlignment="1" applyProtection="1">
      <alignment horizontal="center"/>
    </xf>
    <xf numFmtId="165" fontId="3" fillId="2" borderId="13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right"/>
    </xf>
    <xf numFmtId="0" fontId="17" fillId="2" borderId="0" xfId="0" applyFont="1" applyFill="1" applyBorder="1" applyAlignment="1" applyProtection="1">
      <alignment horizontal="right"/>
    </xf>
    <xf numFmtId="0" fontId="5" fillId="5" borderId="2" xfId="0" applyFont="1" applyFill="1" applyBorder="1" applyAlignment="1" applyProtection="1">
      <alignment horizontal="center"/>
      <protection locked="0"/>
    </xf>
    <xf numFmtId="8" fontId="5" fillId="5" borderId="22" xfId="1" applyNumberFormat="1" applyFont="1" applyFill="1" applyBorder="1" applyAlignment="1" applyProtection="1">
      <alignment horizontal="right"/>
      <protection locked="0"/>
    </xf>
    <xf numFmtId="8" fontId="5" fillId="5" borderId="2" xfId="1" applyNumberFormat="1" applyFont="1" applyFill="1" applyBorder="1" applyAlignment="1" applyProtection="1">
      <alignment horizontal="right"/>
      <protection locked="0"/>
    </xf>
    <xf numFmtId="8" fontId="5" fillId="2" borderId="9" xfId="1" applyNumberFormat="1" applyFont="1" applyFill="1" applyBorder="1" applyAlignment="1" applyProtection="1">
      <alignment horizontal="center"/>
      <protection locked="0"/>
    </xf>
    <xf numFmtId="8" fontId="5" fillId="2" borderId="25" xfId="1" applyNumberFormat="1" applyFont="1" applyFill="1" applyBorder="1" applyAlignment="1" applyProtection="1">
      <alignment horizontal="center"/>
      <protection locked="0"/>
    </xf>
    <xf numFmtId="8" fontId="5" fillId="2" borderId="3" xfId="1" applyNumberFormat="1" applyFont="1" applyFill="1" applyBorder="1" applyAlignment="1" applyProtection="1">
      <alignment horizontal="center"/>
      <protection locked="0"/>
    </xf>
    <xf numFmtId="8" fontId="5" fillId="2" borderId="0" xfId="1" applyNumberFormat="1" applyFont="1" applyFill="1" applyBorder="1" applyAlignment="1" applyProtection="1">
      <alignment horizontal="center"/>
      <protection locked="0"/>
    </xf>
    <xf numFmtId="8" fontId="5" fillId="5" borderId="10" xfId="1" applyNumberFormat="1" applyFont="1" applyFill="1" applyBorder="1" applyAlignment="1" applyProtection="1">
      <alignment horizontal="center"/>
      <protection locked="0"/>
    </xf>
    <xf numFmtId="8" fontId="5" fillId="5" borderId="11" xfId="1" applyNumberFormat="1" applyFont="1" applyFill="1" applyBorder="1" applyAlignment="1" applyProtection="1">
      <alignment horizontal="center"/>
      <protection locked="0"/>
    </xf>
    <xf numFmtId="8" fontId="5" fillId="5" borderId="25" xfId="1" applyNumberFormat="1" applyFont="1" applyFill="1" applyBorder="1" applyAlignment="1" applyProtection="1">
      <alignment horizontal="center"/>
      <protection locked="0"/>
    </xf>
    <xf numFmtId="165" fontId="0" fillId="2" borderId="0" xfId="0" applyNumberFormat="1" applyFill="1" applyBorder="1" applyAlignment="1" applyProtection="1">
      <alignment horizontal="center"/>
    </xf>
    <xf numFmtId="40" fontId="2" fillId="3" borderId="26" xfId="0" applyNumberFormat="1" applyFont="1" applyFill="1" applyBorder="1" applyAlignment="1" applyProtection="1">
      <alignment horizontal="right"/>
    </xf>
    <xf numFmtId="8" fontId="6" fillId="4" borderId="19" xfId="1" applyNumberFormat="1" applyFont="1" applyFill="1" applyBorder="1" applyAlignment="1" applyProtection="1">
      <alignment horizontal="center"/>
    </xf>
    <xf numFmtId="8" fontId="0" fillId="7" borderId="27" xfId="0" applyNumberFormat="1" applyFill="1" applyBorder="1" applyAlignment="1" applyProtection="1">
      <alignment horizontal="right"/>
    </xf>
    <xf numFmtId="8" fontId="0" fillId="7" borderId="17" xfId="0" applyNumberFormat="1" applyFill="1" applyBorder="1" applyAlignment="1" applyProtection="1">
      <alignment horizontal="right"/>
    </xf>
    <xf numFmtId="165" fontId="0" fillId="5" borderId="0" xfId="0" applyNumberFormat="1" applyFill="1" applyAlignment="1" applyProtection="1">
      <alignment horizontal="center"/>
    </xf>
    <xf numFmtId="166" fontId="3" fillId="2" borderId="3" xfId="0" applyNumberFormat="1" applyFont="1" applyFill="1" applyBorder="1" applyAlignment="1" applyProtection="1">
      <alignment horizontal="center"/>
    </xf>
    <xf numFmtId="8" fontId="3" fillId="5" borderId="29" xfId="0" applyNumberFormat="1" applyFont="1" applyFill="1" applyBorder="1" applyAlignment="1" applyProtection="1">
      <alignment horizontal="right"/>
    </xf>
    <xf numFmtId="8" fontId="3" fillId="3" borderId="29" xfId="0" applyNumberFormat="1" applyFont="1" applyFill="1" applyBorder="1" applyAlignment="1" applyProtection="1">
      <alignment horizontal="right"/>
    </xf>
    <xf numFmtId="8" fontId="3" fillId="7" borderId="29" xfId="0" applyNumberFormat="1" applyFont="1" applyFill="1" applyBorder="1" applyAlignment="1" applyProtection="1">
      <alignment horizontal="right"/>
    </xf>
    <xf numFmtId="8" fontId="10" fillId="4" borderId="8" xfId="0" applyNumberFormat="1" applyFont="1" applyFill="1" applyBorder="1" applyAlignment="1" applyProtection="1">
      <alignment horizontal="center"/>
    </xf>
    <xf numFmtId="8" fontId="10" fillId="4" borderId="10" xfId="0" applyNumberFormat="1" applyFont="1" applyFill="1" applyBorder="1" applyAlignment="1" applyProtection="1">
      <alignment horizontal="center"/>
    </xf>
    <xf numFmtId="8" fontId="10" fillId="2" borderId="8" xfId="0" applyNumberFormat="1" applyFont="1" applyFill="1" applyBorder="1" applyAlignment="1" applyProtection="1">
      <alignment horizontal="center"/>
    </xf>
    <xf numFmtId="8" fontId="10" fillId="2" borderId="10" xfId="0" applyNumberFormat="1" applyFont="1" applyFill="1" applyBorder="1" applyAlignment="1" applyProtection="1">
      <alignment horizontal="center"/>
    </xf>
    <xf numFmtId="8" fontId="10" fillId="4" borderId="22" xfId="1" applyNumberFormat="1" applyFont="1" applyFill="1" applyBorder="1" applyProtection="1"/>
    <xf numFmtId="8" fontId="10" fillId="4" borderId="20" xfId="1" applyNumberFormat="1" applyFont="1" applyFill="1" applyBorder="1" applyProtection="1"/>
    <xf numFmtId="8" fontId="10" fillId="4" borderId="0" xfId="1" applyNumberFormat="1" applyFont="1" applyFill="1" applyBorder="1" applyProtection="1"/>
    <xf numFmtId="8" fontId="10" fillId="4" borderId="23" xfId="1" applyNumberFormat="1" applyFont="1" applyFill="1" applyBorder="1" applyProtection="1"/>
    <xf numFmtId="0" fontId="3" fillId="2" borderId="10" xfId="0" applyFont="1" applyFill="1" applyBorder="1" applyAlignment="1" applyProtection="1">
      <alignment horizontal="center" vertical="center" wrapText="1"/>
    </xf>
    <xf numFmtId="8" fontId="11" fillId="4" borderId="8" xfId="0" applyNumberFormat="1" applyFont="1" applyFill="1" applyBorder="1" applyAlignment="1" applyProtection="1">
      <alignment horizontal="center" wrapText="1"/>
    </xf>
    <xf numFmtId="8" fontId="11" fillId="2" borderId="8" xfId="0" applyNumberFormat="1" applyFont="1" applyFill="1" applyBorder="1" applyAlignment="1" applyProtection="1">
      <alignment horizontal="center" wrapText="1"/>
    </xf>
    <xf numFmtId="0" fontId="10" fillId="2" borderId="30" xfId="0" applyFont="1" applyFill="1" applyBorder="1" applyAlignment="1" applyProtection="1">
      <alignment horizontal="right"/>
    </xf>
    <xf numFmtId="8" fontId="10" fillId="4" borderId="31" xfId="1" applyNumberFormat="1" applyFont="1" applyFill="1" applyBorder="1" applyProtection="1"/>
    <xf numFmtId="8" fontId="10" fillId="2" borderId="32" xfId="1" applyNumberFormat="1" applyFont="1" applyFill="1" applyBorder="1" applyProtection="1"/>
    <xf numFmtId="8" fontId="10" fillId="2" borderId="31" xfId="1" applyNumberFormat="1" applyFont="1" applyFill="1" applyBorder="1" applyProtection="1"/>
    <xf numFmtId="165" fontId="0" fillId="3" borderId="25" xfId="0" applyNumberFormat="1" applyFill="1" applyBorder="1" applyAlignment="1" applyProtection="1">
      <alignment horizontal="center"/>
    </xf>
    <xf numFmtId="8" fontId="1" fillId="3" borderId="6" xfId="0" applyNumberFormat="1" applyFont="1" applyFill="1" applyBorder="1" applyAlignment="1" applyProtection="1">
      <alignment horizontal="right"/>
    </xf>
    <xf numFmtId="8" fontId="3" fillId="7" borderId="6" xfId="0" applyNumberFormat="1" applyFont="1" applyFill="1" applyBorder="1" applyAlignment="1" applyProtection="1">
      <alignment horizontal="right"/>
    </xf>
    <xf numFmtId="8" fontId="2" fillId="4" borderId="7" xfId="1" applyNumberFormat="1" applyFont="1" applyFill="1" applyBorder="1" applyAlignment="1" applyProtection="1">
      <alignment horizontal="center"/>
    </xf>
    <xf numFmtId="8" fontId="2" fillId="2" borderId="7" xfId="1" applyNumberFormat="1" applyFont="1" applyFill="1" applyBorder="1" applyAlignment="1" applyProtection="1">
      <alignment horizontal="center"/>
    </xf>
    <xf numFmtId="8" fontId="0" fillId="5" borderId="27" xfId="0" applyNumberFormat="1" applyFill="1" applyBorder="1" applyAlignment="1" applyProtection="1">
      <alignment horizontal="right"/>
    </xf>
    <xf numFmtId="8" fontId="1" fillId="3" borderId="27" xfId="0" applyNumberFormat="1" applyFont="1" applyFill="1" applyBorder="1" applyAlignment="1" applyProtection="1">
      <alignment horizontal="right"/>
    </xf>
    <xf numFmtId="8" fontId="7" fillId="4" borderId="11" xfId="1" applyNumberFormat="1" applyFont="1" applyFill="1" applyBorder="1" applyAlignment="1" applyProtection="1">
      <alignment horizontal="center"/>
    </xf>
    <xf numFmtId="8" fontId="7" fillId="2" borderId="11" xfId="1" applyNumberFormat="1" applyFont="1" applyFill="1" applyBorder="1" applyAlignment="1" applyProtection="1">
      <alignment horizontal="center"/>
    </xf>
    <xf numFmtId="40" fontId="2" fillId="3" borderId="33" xfId="0" applyNumberFormat="1" applyFont="1" applyFill="1" applyBorder="1" applyAlignment="1" applyProtection="1">
      <alignment horizontal="right"/>
    </xf>
    <xf numFmtId="8" fontId="6" fillId="4" borderId="34" xfId="1" applyNumberFormat="1" applyFont="1" applyFill="1" applyBorder="1" applyAlignment="1" applyProtection="1">
      <alignment horizontal="center"/>
    </xf>
    <xf numFmtId="8" fontId="6" fillId="2" borderId="34" xfId="1" applyNumberFormat="1" applyFont="1" applyFill="1" applyBorder="1" applyAlignment="1" applyProtection="1">
      <alignment horizontal="center"/>
    </xf>
    <xf numFmtId="8" fontId="6" fillId="2" borderId="35" xfId="1" applyNumberFormat="1" applyFont="1" applyFill="1" applyBorder="1" applyAlignment="1" applyProtection="1">
      <alignment horizontal="center"/>
    </xf>
    <xf numFmtId="8" fontId="3" fillId="3" borderId="18" xfId="0" applyNumberFormat="1" applyFont="1" applyFill="1" applyBorder="1" applyProtection="1"/>
    <xf numFmtId="8" fontId="0" fillId="7" borderId="36" xfId="0" applyNumberFormat="1" applyFill="1" applyBorder="1" applyAlignment="1" applyProtection="1">
      <alignment horizontal="right"/>
    </xf>
    <xf numFmtId="8" fontId="0" fillId="5" borderId="36" xfId="0" applyNumberFormat="1" applyFill="1" applyBorder="1" applyAlignment="1" applyProtection="1">
      <alignment horizontal="right"/>
    </xf>
    <xf numFmtId="8" fontId="3" fillId="5" borderId="37" xfId="0" applyNumberFormat="1" applyFont="1" applyFill="1" applyBorder="1" applyAlignment="1" applyProtection="1">
      <alignment horizontal="right"/>
    </xf>
    <xf numFmtId="8" fontId="3" fillId="3" borderId="37" xfId="0" applyNumberFormat="1" applyFont="1" applyFill="1" applyBorder="1" applyAlignment="1" applyProtection="1">
      <alignment horizontal="right"/>
    </xf>
    <xf numFmtId="8" fontId="5" fillId="5" borderId="24" xfId="1" applyNumberFormat="1" applyFont="1" applyFill="1" applyBorder="1" applyAlignment="1" applyProtection="1">
      <alignment horizontal="right"/>
      <protection locked="0"/>
    </xf>
    <xf numFmtId="166" fontId="3" fillId="2" borderId="10" xfId="0" applyNumberFormat="1" applyFont="1" applyFill="1" applyBorder="1" applyAlignment="1" applyProtection="1">
      <alignment horizontal="center" vertical="center" wrapText="1"/>
    </xf>
    <xf numFmtId="40" fontId="2" fillId="2" borderId="0" xfId="0" applyNumberFormat="1" applyFont="1" applyFill="1" applyBorder="1" applyAlignment="1" applyProtection="1">
      <alignment horizontal="right"/>
    </xf>
    <xf numFmtId="0" fontId="17" fillId="2" borderId="3" xfId="0" applyFont="1" applyFill="1" applyBorder="1" applyAlignment="1" applyProtection="1">
      <alignment horizontal="center" wrapText="1"/>
    </xf>
    <xf numFmtId="0" fontId="14" fillId="2" borderId="7" xfId="0" applyFont="1" applyFill="1" applyBorder="1" applyAlignment="1" applyProtection="1">
      <alignment horizontal="right"/>
    </xf>
    <xf numFmtId="8" fontId="5" fillId="8" borderId="8" xfId="1" applyNumberFormat="1" applyFont="1" applyFill="1" applyBorder="1" applyAlignment="1" applyProtection="1">
      <alignment horizontal="center"/>
    </xf>
    <xf numFmtId="8" fontId="5" fillId="8" borderId="1" xfId="1" applyNumberFormat="1" applyFont="1" applyFill="1" applyBorder="1" applyAlignment="1" applyProtection="1">
      <alignment horizontal="center"/>
    </xf>
    <xf numFmtId="0" fontId="14" fillId="2" borderId="10" xfId="0" applyFont="1" applyFill="1" applyBorder="1" applyAlignment="1" applyProtection="1">
      <alignment horizontal="right"/>
    </xf>
    <xf numFmtId="8" fontId="5" fillId="8" borderId="11" xfId="1" applyNumberFormat="1" applyFont="1" applyFill="1" applyBorder="1" applyAlignment="1" applyProtection="1">
      <alignment horizontal="center"/>
    </xf>
    <xf numFmtId="0" fontId="9" fillId="2" borderId="13" xfId="0" applyFont="1" applyFill="1" applyBorder="1" applyAlignment="1" applyProtection="1">
      <alignment horizontal="right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1" fillId="0" borderId="38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right"/>
      <protection locked="0"/>
    </xf>
    <xf numFmtId="8" fontId="2" fillId="2" borderId="10" xfId="1" applyNumberFormat="1" applyFont="1" applyFill="1" applyBorder="1" applyProtection="1">
      <protection locked="0"/>
    </xf>
    <xf numFmtId="8" fontId="2" fillId="2" borderId="0" xfId="1" applyNumberFormat="1" applyFont="1" applyFill="1" applyBorder="1" applyProtection="1">
      <protection locked="0"/>
    </xf>
    <xf numFmtId="40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10" fontId="1" fillId="2" borderId="10" xfId="0" applyNumberFormat="1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8" fontId="2" fillId="2" borderId="17" xfId="1" applyNumberFormat="1" applyFont="1" applyFill="1" applyBorder="1" applyProtection="1">
      <protection locked="0"/>
    </xf>
    <xf numFmtId="8" fontId="2" fillId="2" borderId="3" xfId="1" applyNumberFormat="1" applyFont="1" applyFill="1" applyBorder="1" applyProtection="1">
      <protection locked="0"/>
    </xf>
    <xf numFmtId="10" fontId="1" fillId="2" borderId="0" xfId="0" applyNumberFormat="1" applyFont="1" applyFill="1" applyBorder="1" applyAlignment="1" applyProtection="1">
      <alignment horizontal="right"/>
      <protection locked="0"/>
    </xf>
    <xf numFmtId="8" fontId="2" fillId="2" borderId="11" xfId="1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8" fontId="2" fillId="2" borderId="10" xfId="1" applyNumberFormat="1" applyFont="1" applyFill="1" applyBorder="1" applyAlignment="1" applyProtection="1">
      <alignment horizontal="right"/>
      <protection locked="0"/>
    </xf>
    <xf numFmtId="8" fontId="2" fillId="2" borderId="11" xfId="1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4" fontId="2" fillId="2" borderId="0" xfId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165" fontId="3" fillId="2" borderId="0" xfId="0" applyNumberFormat="1" applyFont="1" applyFill="1" applyAlignment="1" applyProtection="1">
      <alignment horizontal="center"/>
      <protection locked="0"/>
    </xf>
    <xf numFmtId="40" fontId="3" fillId="2" borderId="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8" fontId="2" fillId="7" borderId="10" xfId="1" applyNumberFormat="1" applyFont="1" applyFill="1" applyBorder="1" applyProtection="1">
      <protection locked="0"/>
    </xf>
    <xf numFmtId="40" fontId="2" fillId="3" borderId="4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7" fillId="2" borderId="1" xfId="0" applyFont="1" applyFill="1" applyBorder="1" applyAlignment="1" applyProtection="1">
      <alignment horizontal="right"/>
      <protection locked="0"/>
    </xf>
    <xf numFmtId="8" fontId="7" fillId="7" borderId="8" xfId="1" applyNumberFormat="1" applyFont="1" applyFill="1" applyBorder="1" applyProtection="1">
      <protection locked="0"/>
    </xf>
    <xf numFmtId="8" fontId="2" fillId="3" borderId="4" xfId="1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horizontal="right"/>
      <protection locked="0"/>
    </xf>
    <xf numFmtId="8" fontId="6" fillId="7" borderId="19" xfId="1" applyNumberFormat="1" applyFont="1" applyFill="1" applyBorder="1" applyProtection="1">
      <protection locked="0"/>
    </xf>
    <xf numFmtId="8" fontId="6" fillId="7" borderId="39" xfId="1" applyNumberFormat="1" applyFont="1" applyFill="1" applyBorder="1" applyProtection="1">
      <protection locked="0"/>
    </xf>
    <xf numFmtId="8" fontId="3" fillId="3" borderId="5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8" fontId="7" fillId="7" borderId="12" xfId="1" applyNumberFormat="1" applyFont="1" applyFill="1" applyBorder="1" applyProtection="1">
      <protection locked="0"/>
    </xf>
    <xf numFmtId="8" fontId="2" fillId="3" borderId="26" xfId="1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44" fontId="4" fillId="2" borderId="0" xfId="0" applyNumberFormat="1" applyFont="1" applyFill="1" applyProtection="1">
      <protection locked="0"/>
    </xf>
    <xf numFmtId="8" fontId="11" fillId="4" borderId="0" xfId="0" applyNumberFormat="1" applyFont="1" applyFill="1" applyBorder="1" applyAlignment="1" applyProtection="1">
      <protection locked="0"/>
    </xf>
    <xf numFmtId="8" fontId="11" fillId="2" borderId="0" xfId="0" applyNumberFormat="1" applyFont="1" applyFill="1" applyBorder="1" applyAlignment="1" applyProtection="1">
      <protection locked="0"/>
    </xf>
    <xf numFmtId="166" fontId="11" fillId="5" borderId="0" xfId="0" applyNumberFormat="1" applyFont="1" applyFill="1" applyProtection="1">
      <protection locked="0"/>
    </xf>
    <xf numFmtId="8" fontId="11" fillId="5" borderId="0" xfId="0" applyNumberFormat="1" applyFont="1" applyFill="1" applyBorder="1" applyAlignment="1" applyProtection="1">
      <protection locked="0"/>
    </xf>
    <xf numFmtId="8" fontId="11" fillId="5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8" fontId="3" fillId="4" borderId="0" xfId="0" applyNumberFormat="1" applyFont="1" applyFill="1" applyBorder="1" applyAlignment="1" applyProtection="1">
      <protection locked="0"/>
    </xf>
    <xf numFmtId="0" fontId="3" fillId="5" borderId="0" xfId="0" applyFont="1" applyFill="1" applyProtection="1">
      <protection locked="0"/>
    </xf>
    <xf numFmtId="8" fontId="3" fillId="5" borderId="0" xfId="0" applyNumberFormat="1" applyFont="1" applyFill="1" applyBorder="1" applyAlignment="1" applyProtection="1">
      <protection locked="0"/>
    </xf>
    <xf numFmtId="8" fontId="3" fillId="2" borderId="0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3" fillId="2" borderId="40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8" fontId="1" fillId="0" borderId="0" xfId="1" applyNumberFormat="1" applyFont="1" applyFill="1" applyAlignment="1" applyProtection="1">
      <alignment horizontal="right"/>
      <protection locked="0"/>
    </xf>
    <xf numFmtId="8" fontId="0" fillId="0" borderId="0" xfId="0" applyNumberFormat="1" applyProtection="1">
      <protection locked="0"/>
    </xf>
    <xf numFmtId="8" fontId="0" fillId="0" borderId="0" xfId="0" applyNumberFormat="1" applyFill="1" applyBorder="1" applyProtection="1">
      <protection locked="0"/>
    </xf>
    <xf numFmtId="8" fontId="0" fillId="0" borderId="0" xfId="0" applyNumberFormat="1" applyBorder="1" applyProtection="1">
      <protection locked="0"/>
    </xf>
    <xf numFmtId="8" fontId="0" fillId="0" borderId="3" xfId="0" applyNumberFormat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8" fontId="3" fillId="0" borderId="9" xfId="0" applyNumberFormat="1" applyFont="1" applyFill="1" applyBorder="1" applyProtection="1">
      <protection locked="0"/>
    </xf>
    <xf numFmtId="8" fontId="0" fillId="0" borderId="41" xfId="0" applyNumberFormat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8" fontId="3" fillId="0" borderId="42" xfId="0" applyNumberFormat="1" applyFont="1" applyBorder="1" applyProtection="1">
      <protection locked="0"/>
    </xf>
    <xf numFmtId="8" fontId="3" fillId="0" borderId="43" xfId="0" applyNumberFormat="1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0" xfId="0" applyFont="1" applyProtection="1">
      <protection locked="0"/>
    </xf>
    <xf numFmtId="8" fontId="3" fillId="2" borderId="0" xfId="0" applyNumberFormat="1" applyFont="1" applyFill="1" applyBorder="1" applyProtection="1">
      <protection locked="0"/>
    </xf>
    <xf numFmtId="0" fontId="0" fillId="2" borderId="44" xfId="0" applyFill="1" applyBorder="1" applyProtection="1">
      <protection locked="0"/>
    </xf>
    <xf numFmtId="165" fontId="3" fillId="7" borderId="45" xfId="0" applyNumberFormat="1" applyFont="1" applyFill="1" applyBorder="1" applyAlignment="1" applyProtection="1">
      <alignment horizontal="center"/>
      <protection locked="0"/>
    </xf>
    <xf numFmtId="165" fontId="3" fillId="7" borderId="4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44" fontId="0" fillId="2" borderId="0" xfId="0" applyNumberFormat="1" applyFill="1" applyProtection="1">
      <protection locked="0"/>
    </xf>
    <xf numFmtId="44" fontId="1" fillId="2" borderId="0" xfId="1" applyFill="1" applyAlignment="1" applyProtection="1">
      <alignment horizontal="center"/>
      <protection locked="0"/>
    </xf>
    <xf numFmtId="44" fontId="3" fillId="2" borderId="0" xfId="0" applyNumberFormat="1" applyFont="1" applyFill="1" applyProtection="1">
      <protection locked="0"/>
    </xf>
    <xf numFmtId="8" fontId="3" fillId="7" borderId="11" xfId="0" applyNumberFormat="1" applyFont="1" applyFill="1" applyBorder="1" applyProtection="1">
      <protection locked="0"/>
    </xf>
    <xf numFmtId="165" fontId="3" fillId="6" borderId="45" xfId="0" applyNumberFormat="1" applyFont="1" applyFill="1" applyBorder="1" applyAlignment="1" applyProtection="1">
      <alignment horizontal="center"/>
      <protection locked="0"/>
    </xf>
    <xf numFmtId="165" fontId="3" fillId="6" borderId="46" xfId="0" applyNumberFormat="1" applyFont="1" applyFill="1" applyBorder="1" applyAlignment="1" applyProtection="1">
      <alignment horizontal="center"/>
      <protection locked="0"/>
    </xf>
    <xf numFmtId="0" fontId="3" fillId="6" borderId="47" xfId="0" applyFont="1" applyFill="1" applyBorder="1" applyAlignment="1" applyProtection="1">
      <alignment horizontal="center"/>
      <protection locked="0"/>
    </xf>
    <xf numFmtId="16" fontId="3" fillId="2" borderId="0" xfId="0" applyNumberFormat="1" applyFont="1" applyFill="1" applyBorder="1" applyAlignment="1" applyProtection="1">
      <alignment horizontal="center"/>
      <protection locked="0"/>
    </xf>
    <xf numFmtId="8" fontId="1" fillId="2" borderId="0" xfId="1" applyNumberFormat="1" applyFont="1" applyFill="1" applyBorder="1" applyAlignment="1" applyProtection="1">
      <alignment horizontal="right"/>
      <protection locked="0"/>
    </xf>
    <xf numFmtId="8" fontId="0" fillId="2" borderId="0" xfId="0" applyNumberFormat="1" applyFill="1" applyBorder="1" applyProtection="1">
      <protection locked="0"/>
    </xf>
    <xf numFmtId="8" fontId="3" fillId="0" borderId="28" xfId="0" applyNumberFormat="1" applyFont="1" applyBorder="1" applyProtection="1">
      <protection locked="0"/>
    </xf>
    <xf numFmtId="8" fontId="3" fillId="6" borderId="17" xfId="0" applyNumberFormat="1" applyFont="1" applyFill="1" applyBorder="1" applyProtection="1">
      <protection locked="0"/>
    </xf>
    <xf numFmtId="8" fontId="3" fillId="6" borderId="11" xfId="0" applyNumberFormat="1" applyFont="1" applyFill="1" applyBorder="1" applyProtection="1">
      <protection locked="0"/>
    </xf>
    <xf numFmtId="165" fontId="3" fillId="8" borderId="45" xfId="0" applyNumberFormat="1" applyFont="1" applyFill="1" applyBorder="1" applyAlignment="1" applyProtection="1">
      <alignment horizontal="center"/>
      <protection locked="0"/>
    </xf>
    <xf numFmtId="165" fontId="3" fillId="8" borderId="46" xfId="0" applyNumberFormat="1" applyFont="1" applyFill="1" applyBorder="1" applyAlignment="1" applyProtection="1">
      <alignment horizontal="center"/>
      <protection locked="0"/>
    </xf>
    <xf numFmtId="8" fontId="3" fillId="8" borderId="11" xfId="0" applyNumberFormat="1" applyFont="1" applyFill="1" applyBorder="1" applyProtection="1">
      <protection locked="0"/>
    </xf>
    <xf numFmtId="8" fontId="3" fillId="8" borderId="15" xfId="0" applyNumberFormat="1" applyFont="1" applyFill="1" applyBorder="1" applyProtection="1">
      <protection locked="0"/>
    </xf>
    <xf numFmtId="166" fontId="3" fillId="4" borderId="10" xfId="0" applyNumberFormat="1" applyFont="1" applyFill="1" applyBorder="1" applyAlignment="1" applyProtection="1">
      <alignment horizontal="center" vertical="center"/>
    </xf>
    <xf numFmtId="166" fontId="3" fillId="2" borderId="10" xfId="0" applyNumberFormat="1" applyFont="1" applyFill="1" applyBorder="1" applyAlignment="1" applyProtection="1">
      <alignment horizontal="center" vertical="center"/>
    </xf>
    <xf numFmtId="166" fontId="3" fillId="2" borderId="25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right"/>
    </xf>
    <xf numFmtId="166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1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/>
      <protection locked="0"/>
    </xf>
    <xf numFmtId="166" fontId="11" fillId="4" borderId="0" xfId="0" applyNumberFormat="1" applyFont="1" applyFill="1" applyProtection="1">
      <protection locked="0"/>
    </xf>
    <xf numFmtId="8" fontId="11" fillId="4" borderId="0" xfId="0" applyNumberFormat="1" applyFont="1" applyFill="1" applyBorder="1" applyAlignment="1" applyProtection="1">
      <alignment horizontal="center"/>
      <protection locked="0"/>
    </xf>
    <xf numFmtId="8" fontId="3" fillId="0" borderId="43" xfId="0" applyNumberFormat="1" applyFont="1" applyFill="1" applyBorder="1" applyProtection="1">
      <protection locked="0"/>
    </xf>
    <xf numFmtId="8" fontId="3" fillId="0" borderId="42" xfId="0" applyNumberFormat="1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8" fontId="0" fillId="0" borderId="0" xfId="0" applyNumberFormat="1" applyFill="1" applyProtection="1">
      <protection locked="0"/>
    </xf>
    <xf numFmtId="8" fontId="0" fillId="0" borderId="3" xfId="0" applyNumberFormat="1" applyFill="1" applyBorder="1" applyProtection="1">
      <protection locked="0"/>
    </xf>
    <xf numFmtId="8" fontId="0" fillId="0" borderId="41" xfId="0" applyNumberFormat="1" applyFill="1" applyBorder="1" applyProtection="1">
      <protection locked="0"/>
    </xf>
    <xf numFmtId="166" fontId="11" fillId="5" borderId="0" xfId="0" applyNumberFormat="1" applyFont="1" applyFill="1" applyAlignment="1" applyProtection="1">
      <alignment horizontal="right"/>
      <protection locked="0"/>
    </xf>
    <xf numFmtId="8" fontId="3" fillId="5" borderId="11" xfId="0" applyNumberFormat="1" applyFont="1" applyFill="1" applyBorder="1" applyProtection="1">
      <protection locked="0"/>
    </xf>
    <xf numFmtId="8" fontId="3" fillId="5" borderId="15" xfId="0" applyNumberFormat="1" applyFont="1" applyFill="1" applyBorder="1" applyProtection="1">
      <protection locked="0"/>
    </xf>
    <xf numFmtId="8" fontId="3" fillId="4" borderId="11" xfId="0" applyNumberFormat="1" applyFont="1" applyFill="1" applyBorder="1" applyProtection="1">
      <protection locked="0"/>
    </xf>
    <xf numFmtId="8" fontId="3" fillId="4" borderId="15" xfId="0" applyNumberFormat="1" applyFont="1" applyFill="1" applyBorder="1" applyProtection="1">
      <protection locked="0"/>
    </xf>
    <xf numFmtId="8" fontId="3" fillId="5" borderId="0" xfId="0" applyNumberFormat="1" applyFont="1" applyFill="1" applyBorder="1" applyAlignment="1" applyProtection="1">
      <alignment horizontal="left"/>
      <protection locked="0"/>
    </xf>
    <xf numFmtId="8" fontId="3" fillId="7" borderId="15" xfId="0" applyNumberFormat="1" applyFont="1" applyFill="1" applyBorder="1" applyProtection="1">
      <protection locked="0"/>
    </xf>
    <xf numFmtId="0" fontId="3" fillId="0" borderId="40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8" fontId="7" fillId="2" borderId="0" xfId="1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right" wrapText="1"/>
      <protection locked="0"/>
    </xf>
    <xf numFmtId="0" fontId="0" fillId="2" borderId="0" xfId="0" applyFill="1" applyBorder="1" applyAlignment="1" applyProtection="1"/>
    <xf numFmtId="165" fontId="0" fillId="2" borderId="0" xfId="0" applyNumberFormat="1" applyFill="1" applyBorder="1" applyAlignment="1" applyProtection="1"/>
    <xf numFmtId="8" fontId="6" fillId="4" borderId="48" xfId="1" applyNumberFormat="1" applyFont="1" applyFill="1" applyBorder="1" applyAlignment="1" applyProtection="1">
      <alignment horizontal="center"/>
    </xf>
    <xf numFmtId="165" fontId="0" fillId="4" borderId="16" xfId="0" applyNumberFormat="1" applyFill="1" applyBorder="1" applyAlignment="1" applyProtection="1">
      <alignment horizontal="center"/>
    </xf>
    <xf numFmtId="165" fontId="0" fillId="4" borderId="0" xfId="0" applyNumberFormat="1" applyFill="1" applyAlignment="1" applyProtection="1">
      <alignment horizontal="center"/>
    </xf>
    <xf numFmtId="165" fontId="0" fillId="4" borderId="25" xfId="0" applyNumberFormat="1" applyFill="1" applyBorder="1" applyAlignment="1" applyProtection="1">
      <alignment horizontal="center"/>
    </xf>
    <xf numFmtId="8" fontId="1" fillId="4" borderId="27" xfId="0" applyNumberFormat="1" applyFont="1" applyFill="1" applyBorder="1" applyAlignment="1" applyProtection="1">
      <alignment horizontal="right"/>
    </xf>
    <xf numFmtId="165" fontId="0" fillId="4" borderId="13" xfId="0" applyNumberFormat="1" applyFill="1" applyBorder="1" applyAlignment="1" applyProtection="1">
      <alignment horizontal="center"/>
    </xf>
    <xf numFmtId="0" fontId="0" fillId="4" borderId="13" xfId="0" applyFill="1" applyBorder="1" applyProtection="1"/>
    <xf numFmtId="0" fontId="0" fillId="4" borderId="14" xfId="0" applyFill="1" applyBorder="1" applyProtection="1"/>
    <xf numFmtId="8" fontId="1" fillId="4" borderId="6" xfId="0" applyNumberFormat="1" applyFont="1" applyFill="1" applyBorder="1" applyAlignment="1" applyProtection="1">
      <alignment horizontal="right"/>
    </xf>
    <xf numFmtId="8" fontId="0" fillId="4" borderId="0" xfId="0" applyNumberFormat="1" applyFill="1" applyBorder="1" applyAlignment="1" applyProtection="1">
      <alignment horizontal="left"/>
    </xf>
    <xf numFmtId="0" fontId="0" fillId="4" borderId="0" xfId="0" applyFill="1" applyBorder="1" applyProtection="1"/>
    <xf numFmtId="0" fontId="0" fillId="4" borderId="1" xfId="0" applyFill="1" applyBorder="1" applyProtection="1"/>
    <xf numFmtId="8" fontId="3" fillId="4" borderId="37" xfId="0" applyNumberFormat="1" applyFont="1" applyFill="1" applyBorder="1" applyAlignment="1" applyProtection="1">
      <alignment horizontal="right"/>
    </xf>
    <xf numFmtId="165" fontId="0" fillId="4" borderId="0" xfId="0" applyNumberFormat="1" applyFill="1" applyBorder="1" applyAlignment="1" applyProtection="1">
      <alignment horizontal="center"/>
    </xf>
    <xf numFmtId="8" fontId="3" fillId="4" borderId="29" xfId="0" applyNumberFormat="1" applyFont="1" applyFill="1" applyBorder="1" applyAlignment="1" applyProtection="1">
      <alignment horizontal="right"/>
    </xf>
    <xf numFmtId="0" fontId="0" fillId="4" borderId="3" xfId="0" applyFill="1" applyBorder="1" applyProtection="1"/>
    <xf numFmtId="0" fontId="0" fillId="4" borderId="15" xfId="0" applyFill="1" applyBorder="1" applyProtection="1"/>
    <xf numFmtId="165" fontId="0" fillId="7" borderId="25" xfId="0" applyNumberFormat="1" applyFill="1" applyBorder="1" applyAlignment="1" applyProtection="1">
      <alignment horizontal="center"/>
    </xf>
    <xf numFmtId="8" fontId="1" fillId="7" borderId="27" xfId="0" applyNumberFormat="1" applyFont="1" applyFill="1" applyBorder="1" applyAlignment="1" applyProtection="1">
      <alignment horizontal="right"/>
    </xf>
    <xf numFmtId="165" fontId="0" fillId="7" borderId="13" xfId="0" applyNumberFormat="1" applyFill="1" applyBorder="1" applyAlignment="1" applyProtection="1">
      <alignment horizontal="center"/>
    </xf>
    <xf numFmtId="0" fontId="0" fillId="7" borderId="13" xfId="0" applyFill="1" applyBorder="1" applyProtection="1"/>
    <xf numFmtId="0" fontId="0" fillId="7" borderId="14" xfId="0" applyFill="1" applyBorder="1" applyProtection="1"/>
    <xf numFmtId="8" fontId="1" fillId="7" borderId="6" xfId="0" applyNumberFormat="1" applyFont="1" applyFill="1" applyBorder="1" applyAlignment="1" applyProtection="1">
      <alignment horizontal="right"/>
    </xf>
    <xf numFmtId="8" fontId="0" fillId="7" borderId="0" xfId="0" applyNumberFormat="1" applyFill="1" applyBorder="1" applyAlignment="1" applyProtection="1">
      <alignment horizontal="left"/>
    </xf>
    <xf numFmtId="0" fontId="0" fillId="7" borderId="0" xfId="0" applyFill="1" applyBorder="1" applyProtection="1"/>
    <xf numFmtId="0" fontId="0" fillId="7" borderId="1" xfId="0" applyFill="1" applyBorder="1" applyProtection="1"/>
    <xf numFmtId="8" fontId="3" fillId="7" borderId="37" xfId="0" applyNumberFormat="1" applyFont="1" applyFill="1" applyBorder="1" applyAlignment="1" applyProtection="1">
      <alignment horizontal="right"/>
    </xf>
    <xf numFmtId="165" fontId="0" fillId="7" borderId="0" xfId="0" applyNumberFormat="1" applyFill="1" applyBorder="1" applyAlignment="1" applyProtection="1">
      <alignment horizontal="center"/>
    </xf>
    <xf numFmtId="0" fontId="0" fillId="7" borderId="3" xfId="0" applyFill="1" applyBorder="1" applyProtection="1"/>
    <xf numFmtId="165" fontId="0" fillId="7" borderId="9" xfId="0" applyNumberFormat="1" applyFill="1" applyBorder="1" applyAlignment="1" applyProtection="1">
      <alignment horizontal="center"/>
    </xf>
    <xf numFmtId="165" fontId="0" fillId="4" borderId="9" xfId="0" applyNumberFormat="1" applyFill="1" applyBorder="1" applyAlignment="1" applyProtection="1">
      <alignment horizontal="center"/>
    </xf>
    <xf numFmtId="0" fontId="18" fillId="2" borderId="0" xfId="0" applyFont="1" applyFill="1" applyAlignment="1" applyProtection="1">
      <alignment vertical="top"/>
      <protection locked="0"/>
    </xf>
    <xf numFmtId="0" fontId="0" fillId="2" borderId="0" xfId="0" applyFill="1" applyBorder="1" applyAlignment="1" applyProtection="1">
      <alignment horizontal="center"/>
      <protection locked="0"/>
    </xf>
    <xf numFmtId="8" fontId="10" fillId="4" borderId="2" xfId="1" applyNumberFormat="1" applyFont="1" applyFill="1" applyBorder="1" applyProtection="1"/>
    <xf numFmtId="8" fontId="10" fillId="2" borderId="2" xfId="1" applyNumberFormat="1" applyFont="1" applyFill="1" applyBorder="1" applyProtection="1"/>
    <xf numFmtId="8" fontId="2" fillId="2" borderId="13" xfId="1" applyNumberFormat="1" applyFont="1" applyFill="1" applyBorder="1" applyAlignment="1" applyProtection="1">
      <alignment horizontal="right"/>
      <protection locked="0"/>
    </xf>
    <xf numFmtId="8" fontId="3" fillId="5" borderId="3" xfId="0" applyNumberFormat="1" applyFont="1" applyFill="1" applyBorder="1" applyProtection="1">
      <protection locked="0"/>
    </xf>
    <xf numFmtId="8" fontId="3" fillId="0" borderId="49" xfId="0" applyNumberFormat="1" applyFont="1" applyFill="1" applyBorder="1" applyProtection="1">
      <protection locked="0"/>
    </xf>
    <xf numFmtId="8" fontId="3" fillId="0" borderId="28" xfId="0" applyNumberFormat="1" applyFont="1" applyFill="1" applyBorder="1" applyProtection="1">
      <protection locked="0"/>
    </xf>
    <xf numFmtId="0" fontId="3" fillId="6" borderId="46" xfId="0" applyFont="1" applyFill="1" applyBorder="1" applyAlignment="1" applyProtection="1">
      <alignment horizontal="center"/>
      <protection locked="0"/>
    </xf>
    <xf numFmtId="8" fontId="3" fillId="8" borderId="3" xfId="0" applyNumberFormat="1" applyFont="1" applyFill="1" applyBorder="1" applyProtection="1">
      <protection locked="0"/>
    </xf>
    <xf numFmtId="8" fontId="3" fillId="0" borderId="49" xfId="0" applyNumberFormat="1" applyFont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8" fontId="3" fillId="2" borderId="0" xfId="1" applyNumberFormat="1" applyFont="1" applyFill="1" applyBorder="1" applyAlignment="1" applyProtection="1">
      <alignment horizontal="center"/>
      <protection locked="0"/>
    </xf>
    <xf numFmtId="8" fontId="3" fillId="7" borderId="17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7" borderId="46" xfId="0" applyFont="1" applyFill="1" applyBorder="1" applyAlignment="1" applyProtection="1">
      <alignment horizontal="center"/>
      <protection locked="0"/>
    </xf>
    <xf numFmtId="0" fontId="3" fillId="7" borderId="47" xfId="0" applyFont="1" applyFill="1" applyBorder="1" applyAlignment="1" applyProtection="1">
      <alignment horizontal="center"/>
      <protection locked="0"/>
    </xf>
    <xf numFmtId="0" fontId="28" fillId="9" borderId="0" xfId="2" applyFont="1" applyFill="1" applyBorder="1"/>
    <xf numFmtId="0" fontId="28" fillId="9" borderId="0" xfId="2" applyFont="1" applyFill="1"/>
    <xf numFmtId="0" fontId="28" fillId="0" borderId="0" xfId="2" applyFont="1"/>
    <xf numFmtId="0" fontId="29" fillId="0" borderId="0" xfId="2" applyFont="1"/>
    <xf numFmtId="0" fontId="26" fillId="9" borderId="0" xfId="2" applyFill="1" applyBorder="1"/>
    <xf numFmtId="0" fontId="26" fillId="9" borderId="0" xfId="2" applyFill="1"/>
    <xf numFmtId="0" fontId="26" fillId="0" borderId="0" xfId="2"/>
    <xf numFmtId="0" fontId="29" fillId="0" borderId="0" xfId="2" applyFont="1" applyAlignment="1">
      <alignment horizontal="right"/>
    </xf>
    <xf numFmtId="0" fontId="26" fillId="0" borderId="0" xfId="2" applyAlignment="1">
      <alignment horizontal="right"/>
    </xf>
    <xf numFmtId="0" fontId="26" fillId="0" borderId="0" xfId="2" applyAlignment="1">
      <alignment vertical="center"/>
    </xf>
    <xf numFmtId="0" fontId="26" fillId="9" borderId="0" xfId="2" applyFill="1" applyAlignment="1">
      <alignment horizontal="right"/>
    </xf>
    <xf numFmtId="0" fontId="29" fillId="0" borderId="0" xfId="2" applyFont="1" applyAlignment="1">
      <alignment vertical="center"/>
    </xf>
    <xf numFmtId="0" fontId="30" fillId="0" borderId="0" xfId="2" applyFont="1" applyAlignment="1">
      <alignment horizontal="right"/>
    </xf>
    <xf numFmtId="164" fontId="26" fillId="0" borderId="0" xfId="2" applyNumberFormat="1"/>
    <xf numFmtId="0" fontId="31" fillId="0" borderId="0" xfId="2" applyFont="1" applyBorder="1" applyAlignment="1">
      <alignment horizontal="center"/>
    </xf>
    <xf numFmtId="0" fontId="31" fillId="0" borderId="0" xfId="2" applyFont="1" applyAlignment="1">
      <alignment horizontal="center"/>
    </xf>
    <xf numFmtId="164" fontId="27" fillId="9" borderId="0" xfId="2" applyNumberFormat="1" applyFont="1" applyFill="1" applyBorder="1" applyAlignment="1">
      <alignment horizontal="center"/>
    </xf>
    <xf numFmtId="164" fontId="27" fillId="0" borderId="0" xfId="2" applyNumberFormat="1" applyFont="1" applyBorder="1" applyAlignment="1">
      <alignment horizontal="center"/>
    </xf>
    <xf numFmtId="164" fontId="27" fillId="0" borderId="0" xfId="2" applyNumberFormat="1" applyFont="1" applyAlignment="1">
      <alignment horizontal="center"/>
    </xf>
    <xf numFmtId="0" fontId="32" fillId="0" borderId="0" xfId="2" applyFont="1"/>
    <xf numFmtId="0" fontId="28" fillId="9" borderId="0" xfId="2" applyFont="1" applyFill="1" applyAlignment="1">
      <alignment horizontal="right"/>
    </xf>
    <xf numFmtId="164" fontId="33" fillId="0" borderId="0" xfId="2" applyNumberFormat="1" applyFont="1" applyBorder="1" applyAlignment="1">
      <alignment horizontal="center"/>
    </xf>
    <xf numFmtId="164" fontId="33" fillId="0" borderId="0" xfId="2" applyNumberFormat="1" applyFont="1" applyAlignment="1">
      <alignment horizontal="center"/>
    </xf>
    <xf numFmtId="164" fontId="29" fillId="0" borderId="0" xfId="2" applyNumberFormat="1" applyFont="1" applyBorder="1" applyAlignment="1">
      <alignment horizontal="center"/>
    </xf>
    <xf numFmtId="0" fontId="33" fillId="9" borderId="0" xfId="2" applyFont="1" applyFill="1" applyBorder="1" applyAlignment="1">
      <alignment horizontal="center"/>
    </xf>
    <xf numFmtId="0" fontId="26" fillId="0" borderId="0" xfId="2" applyBorder="1"/>
    <xf numFmtId="0" fontId="34" fillId="9" borderId="0" xfId="2" applyFont="1" applyFill="1" applyBorder="1" applyAlignment="1">
      <alignment horizontal="right"/>
    </xf>
    <xf numFmtId="0" fontId="29" fillId="9" borderId="3" xfId="2" applyFont="1" applyFill="1" applyBorder="1"/>
    <xf numFmtId="0" fontId="34" fillId="9" borderId="3" xfId="2" applyFont="1" applyFill="1" applyBorder="1" applyAlignment="1">
      <alignment horizontal="left"/>
    </xf>
    <xf numFmtId="0" fontId="33" fillId="9" borderId="3" xfId="2" applyFont="1" applyFill="1" applyBorder="1" applyAlignment="1">
      <alignment horizontal="left"/>
    </xf>
    <xf numFmtId="0" fontId="29" fillId="9" borderId="9" xfId="2" applyFont="1" applyFill="1" applyBorder="1"/>
    <xf numFmtId="0" fontId="33" fillId="9" borderId="9" xfId="2" applyFont="1" applyFill="1" applyBorder="1" applyAlignment="1">
      <alignment horizontal="center"/>
    </xf>
    <xf numFmtId="0" fontId="33" fillId="9" borderId="0" xfId="2" applyFont="1" applyFill="1" applyBorder="1" applyAlignment="1">
      <alignment horizontal="right"/>
    </xf>
    <xf numFmtId="0" fontId="29" fillId="9" borderId="0" xfId="2" applyFont="1" applyFill="1" applyBorder="1"/>
    <xf numFmtId="0" fontId="29" fillId="9" borderId="0" xfId="2" applyFont="1" applyFill="1"/>
    <xf numFmtId="0" fontId="33" fillId="9" borderId="3" xfId="2" applyFont="1" applyFill="1" applyBorder="1" applyAlignment="1">
      <alignment horizontal="right"/>
    </xf>
    <xf numFmtId="0" fontId="33" fillId="9" borderId="9" xfId="2" applyFont="1" applyFill="1" applyBorder="1"/>
    <xf numFmtId="0" fontId="29" fillId="9" borderId="0" xfId="2" applyFont="1" applyFill="1" applyAlignment="1">
      <alignment horizontal="right"/>
    </xf>
    <xf numFmtId="0" fontId="27" fillId="9" borderId="0" xfId="2" applyFont="1" applyFill="1" applyBorder="1" applyAlignment="1">
      <alignment horizontal="center"/>
    </xf>
    <xf numFmtId="0" fontId="35" fillId="9" borderId="0" xfId="2" applyFont="1" applyFill="1"/>
    <xf numFmtId="0" fontId="28" fillId="0" borderId="0" xfId="2" applyFont="1" applyAlignment="1">
      <alignment horizontal="right"/>
    </xf>
    <xf numFmtId="16" fontId="28" fillId="0" borderId="0" xfId="2" applyNumberFormat="1" applyFont="1"/>
    <xf numFmtId="16" fontId="28" fillId="0" borderId="0" xfId="2" applyNumberFormat="1" applyFont="1" applyAlignment="1">
      <alignment horizontal="right"/>
    </xf>
    <xf numFmtId="164" fontId="28" fillId="0" borderId="0" xfId="2" applyNumberFormat="1" applyFont="1"/>
    <xf numFmtId="0" fontId="26" fillId="0" borderId="0" xfId="2" applyAlignment="1">
      <alignment horizontal="right" vertical="center"/>
    </xf>
    <xf numFmtId="0" fontId="29" fillId="0" borderId="0" xfId="2" applyFont="1" applyAlignment="1">
      <alignment horizontal="right" vertical="center"/>
    </xf>
    <xf numFmtId="0" fontId="36" fillId="0" borderId="0" xfId="2" applyFont="1" applyAlignment="1">
      <alignment horizontal="right" vertical="center"/>
    </xf>
    <xf numFmtId="0" fontId="34" fillId="9" borderId="3" xfId="2" applyFont="1" applyFill="1" applyBorder="1" applyAlignment="1">
      <alignment horizontal="right"/>
    </xf>
    <xf numFmtId="0" fontId="33" fillId="9" borderId="3" xfId="2" applyFont="1" applyFill="1" applyBorder="1" applyAlignment="1">
      <alignment horizontal="center"/>
    </xf>
    <xf numFmtId="0" fontId="37" fillId="0" borderId="0" xfId="2" applyFont="1"/>
    <xf numFmtId="0" fontId="37" fillId="9" borderId="0" xfId="2" applyFont="1" applyFill="1" applyBorder="1" applyAlignment="1">
      <alignment horizontal="center" wrapText="1"/>
    </xf>
    <xf numFmtId="8" fontId="3" fillId="10" borderId="11" xfId="0" applyNumberFormat="1" applyFont="1" applyFill="1" applyBorder="1" applyProtection="1">
      <protection locked="0"/>
    </xf>
    <xf numFmtId="8" fontId="3" fillId="11" borderId="11" xfId="0" applyNumberFormat="1" applyFont="1" applyFill="1" applyBorder="1" applyProtection="1">
      <protection locked="0"/>
    </xf>
    <xf numFmtId="8" fontId="3" fillId="9" borderId="0" xfId="0" applyNumberFormat="1" applyFont="1" applyFill="1" applyBorder="1" applyProtection="1">
      <protection locked="0"/>
    </xf>
    <xf numFmtId="0" fontId="0" fillId="9" borderId="0" xfId="0" applyFill="1" applyProtection="1">
      <protection locked="0"/>
    </xf>
    <xf numFmtId="0" fontId="3" fillId="9" borderId="0" xfId="0" applyFont="1" applyFill="1" applyProtection="1">
      <protection locked="0"/>
    </xf>
    <xf numFmtId="16" fontId="29" fillId="9" borderId="0" xfId="2" applyNumberFormat="1" applyFont="1" applyFill="1"/>
    <xf numFmtId="0" fontId="13" fillId="2" borderId="7" xfId="0" applyFont="1" applyFill="1" applyBorder="1" applyAlignment="1" applyProtection="1">
      <alignment horizontal="right"/>
    </xf>
    <xf numFmtId="0" fontId="19" fillId="10" borderId="27" xfId="2" applyFont="1" applyFill="1" applyBorder="1" applyAlignment="1">
      <alignment horizontal="left"/>
    </xf>
    <xf numFmtId="0" fontId="39" fillId="10" borderId="13" xfId="2" applyFont="1" applyFill="1" applyBorder="1" applyAlignment="1"/>
    <xf numFmtId="0" fontId="28" fillId="10" borderId="13" xfId="2" applyFont="1" applyFill="1" applyBorder="1" applyAlignment="1"/>
    <xf numFmtId="0" fontId="28" fillId="10" borderId="14" xfId="2" applyFont="1" applyFill="1" applyBorder="1" applyAlignment="1"/>
    <xf numFmtId="167" fontId="40" fillId="9" borderId="6" xfId="2" applyNumberFormat="1" applyFont="1" applyFill="1" applyBorder="1" applyAlignment="1">
      <alignment horizontal="right"/>
    </xf>
    <xf numFmtId="0" fontId="39" fillId="9" borderId="0" xfId="2" applyFont="1" applyFill="1" applyBorder="1" applyAlignment="1"/>
    <xf numFmtId="0" fontId="28" fillId="9" borderId="0" xfId="2" applyFont="1" applyFill="1" applyBorder="1" applyAlignment="1"/>
    <xf numFmtId="0" fontId="28" fillId="9" borderId="1" xfId="2" applyFont="1" applyFill="1" applyBorder="1" applyAlignment="1"/>
    <xf numFmtId="0" fontId="28" fillId="9" borderId="6" xfId="2" applyFont="1" applyFill="1" applyBorder="1" applyAlignment="1">
      <alignment horizontal="center" vertical="center"/>
    </xf>
    <xf numFmtId="0" fontId="31" fillId="9" borderId="0" xfId="2" applyFont="1" applyFill="1" applyBorder="1" applyAlignment="1">
      <alignment horizontal="center"/>
    </xf>
    <xf numFmtId="0" fontId="41" fillId="9" borderId="0" xfId="2" applyFont="1" applyFill="1" applyBorder="1" applyAlignment="1"/>
    <xf numFmtId="164" fontId="33" fillId="9" borderId="0" xfId="2" applyNumberFormat="1" applyFont="1" applyFill="1" applyBorder="1" applyAlignment="1">
      <alignment horizontal="center"/>
    </xf>
    <xf numFmtId="164" fontId="29" fillId="9" borderId="0" xfId="2" applyNumberFormat="1" applyFont="1" applyFill="1" applyBorder="1" applyAlignment="1">
      <alignment horizontal="center"/>
    </xf>
    <xf numFmtId="164" fontId="29" fillId="9" borderId="41" xfId="2" applyNumberFormat="1" applyFont="1" applyFill="1" applyBorder="1" applyAlignment="1">
      <alignment horizontal="center"/>
    </xf>
    <xf numFmtId="164" fontId="34" fillId="9" borderId="0" xfId="2" applyNumberFormat="1" applyFont="1" applyFill="1" applyBorder="1" applyAlignment="1">
      <alignment horizontal="center"/>
    </xf>
    <xf numFmtId="0" fontId="41" fillId="9" borderId="0" xfId="2" applyFont="1" applyFill="1" applyBorder="1" applyAlignment="1">
      <alignment horizontal="center" vertical="center"/>
    </xf>
    <xf numFmtId="164" fontId="33" fillId="0" borderId="0" xfId="2" applyNumberFormat="1" applyFont="1" applyFill="1" applyBorder="1" applyAlignment="1">
      <alignment horizontal="center"/>
    </xf>
    <xf numFmtId="164" fontId="33" fillId="0" borderId="0" xfId="2" applyNumberFormat="1" applyFont="1" applyFill="1" applyAlignment="1">
      <alignment horizontal="center"/>
    </xf>
    <xf numFmtId="164" fontId="29" fillId="0" borderId="0" xfId="2" applyNumberFormat="1" applyFont="1" applyFill="1"/>
    <xf numFmtId="164" fontId="29" fillId="0" borderId="0" xfId="2" applyNumberFormat="1" applyFont="1" applyFill="1" applyAlignment="1">
      <alignment horizontal="right"/>
    </xf>
    <xf numFmtId="0" fontId="29" fillId="0" borderId="0" xfId="2" applyFont="1" applyFill="1"/>
    <xf numFmtId="0" fontId="26" fillId="0" borderId="0" xfId="2" applyFill="1"/>
    <xf numFmtId="164" fontId="27" fillId="0" borderId="0" xfId="2" applyNumberFormat="1" applyFont="1" applyFill="1" applyBorder="1" applyAlignment="1">
      <alignment horizontal="center"/>
    </xf>
    <xf numFmtId="164" fontId="27" fillId="0" borderId="0" xfId="2" applyNumberFormat="1" applyFont="1" applyFill="1" applyAlignment="1">
      <alignment horizontal="center"/>
    </xf>
    <xf numFmtId="164" fontId="27" fillId="0" borderId="0" xfId="2" applyNumberFormat="1" applyFont="1" applyFill="1"/>
    <xf numFmtId="0" fontId="28" fillId="0" borderId="0" xfId="2" applyFont="1" applyFill="1"/>
    <xf numFmtId="164" fontId="26" fillId="0" borderId="0" xfId="2" applyNumberFormat="1" applyFill="1" applyAlignment="1"/>
    <xf numFmtId="164" fontId="26" fillId="0" borderId="0" xfId="2" applyNumberFormat="1" applyFill="1" applyAlignment="1">
      <alignment horizontal="right"/>
    </xf>
    <xf numFmtId="0" fontId="29" fillId="0" borderId="0" xfId="2" applyFont="1" applyFill="1" applyAlignment="1">
      <alignment vertical="center"/>
    </xf>
    <xf numFmtId="0" fontId="26" fillId="0" borderId="0" xfId="2" applyFill="1" applyAlignment="1">
      <alignment horizontal="right"/>
    </xf>
    <xf numFmtId="8" fontId="26" fillId="0" borderId="0" xfId="2" applyNumberFormat="1" applyFill="1"/>
    <xf numFmtId="0" fontId="31" fillId="0" borderId="0" xfId="2" applyFont="1" applyFill="1" applyBorder="1" applyAlignment="1">
      <alignment horizontal="center"/>
    </xf>
    <xf numFmtId="0" fontId="31" fillId="0" borderId="0" xfId="2" applyFont="1" applyFill="1" applyAlignment="1">
      <alignment horizontal="center"/>
    </xf>
    <xf numFmtId="8" fontId="26" fillId="0" borderId="0" xfId="2" applyNumberFormat="1" applyFill="1" applyAlignment="1">
      <alignment vertical="top"/>
    </xf>
    <xf numFmtId="0" fontId="37" fillId="0" borderId="0" xfId="2" applyFont="1" applyFill="1"/>
    <xf numFmtId="0" fontId="42" fillId="0" borderId="0" xfId="2" applyFont="1" applyFill="1" applyAlignment="1">
      <alignment horizontal="right"/>
    </xf>
    <xf numFmtId="0" fontId="29" fillId="0" borderId="0" xfId="2" applyFont="1" applyFill="1" applyAlignment="1">
      <alignment horizontal="right" vertical="center"/>
    </xf>
    <xf numFmtId="0" fontId="29" fillId="9" borderId="0" xfId="2" applyFont="1" applyFill="1" applyAlignment="1">
      <alignment vertical="center"/>
    </xf>
    <xf numFmtId="164" fontId="29" fillId="9" borderId="0" xfId="2" applyNumberFormat="1" applyFont="1" applyFill="1" applyBorder="1" applyAlignment="1">
      <alignment horizontal="center"/>
    </xf>
    <xf numFmtId="0" fontId="43" fillId="9" borderId="17" xfId="2" applyFont="1" applyFill="1" applyBorder="1" applyAlignment="1">
      <alignment vertical="center"/>
    </xf>
    <xf numFmtId="0" fontId="43" fillId="9" borderId="3" xfId="2" applyFont="1" applyFill="1" applyBorder="1" applyAlignment="1">
      <alignment vertical="center"/>
    </xf>
    <xf numFmtId="0" fontId="43" fillId="9" borderId="15" xfId="2" applyFont="1" applyFill="1" applyBorder="1" applyAlignment="1">
      <alignment vertical="center"/>
    </xf>
    <xf numFmtId="0" fontId="41" fillId="9" borderId="0" xfId="2" applyFont="1" applyFill="1" applyBorder="1" applyAlignment="1">
      <alignment vertical="center"/>
    </xf>
    <xf numFmtId="164" fontId="44" fillId="9" borderId="0" xfId="2" applyNumberFormat="1" applyFont="1" applyFill="1" applyBorder="1" applyAlignment="1">
      <alignment horizontal="center"/>
    </xf>
    <xf numFmtId="0" fontId="29" fillId="9" borderId="0" xfId="2" applyFont="1" applyFill="1" applyBorder="1" applyAlignment="1">
      <alignment horizontal="right"/>
    </xf>
    <xf numFmtId="0" fontId="28" fillId="9" borderId="3" xfId="2" applyFont="1" applyFill="1" applyBorder="1" applyAlignment="1"/>
    <xf numFmtId="0" fontId="28" fillId="9" borderId="15" xfId="2" applyFont="1" applyFill="1" applyBorder="1" applyAlignment="1"/>
    <xf numFmtId="0" fontId="34" fillId="9" borderId="9" xfId="2" applyFont="1" applyFill="1" applyBorder="1" applyAlignment="1">
      <alignment horizontal="right"/>
    </xf>
    <xf numFmtId="0" fontId="38" fillId="0" borderId="9" xfId="2" applyFont="1" applyBorder="1"/>
    <xf numFmtId="0" fontId="36" fillId="9" borderId="0" xfId="2" applyFont="1" applyFill="1"/>
    <xf numFmtId="0" fontId="36" fillId="9" borderId="3" xfId="2" applyFont="1" applyFill="1" applyBorder="1"/>
    <xf numFmtId="0" fontId="36" fillId="9" borderId="9" xfId="2" applyFont="1" applyFill="1" applyBorder="1"/>
    <xf numFmtId="0" fontId="34" fillId="9" borderId="0" xfId="2" applyFont="1" applyFill="1" applyBorder="1" applyAlignment="1"/>
    <xf numFmtId="0" fontId="34" fillId="9" borderId="9" xfId="2" applyFont="1" applyFill="1" applyBorder="1" applyAlignment="1"/>
    <xf numFmtId="0" fontId="36" fillId="9" borderId="6" xfId="2" applyFont="1" applyFill="1" applyBorder="1" applyAlignment="1">
      <alignment horizontal="left"/>
    </xf>
    <xf numFmtId="0" fontId="36" fillId="9" borderId="0" xfId="2" applyFont="1" applyFill="1" applyBorder="1" applyAlignment="1"/>
    <xf numFmtId="0" fontId="34" fillId="9" borderId="6" xfId="2" applyFont="1" applyFill="1" applyBorder="1" applyAlignment="1">
      <alignment horizontal="left"/>
    </xf>
    <xf numFmtId="0" fontId="36" fillId="9" borderId="0" xfId="2" applyFont="1" applyFill="1" applyBorder="1"/>
    <xf numFmtId="0" fontId="34" fillId="9" borderId="0" xfId="2" applyFont="1" applyFill="1" applyBorder="1"/>
    <xf numFmtId="164" fontId="44" fillId="9" borderId="3" xfId="2" applyNumberFormat="1" applyFont="1" applyFill="1" applyBorder="1" applyAlignment="1">
      <alignment horizontal="center"/>
    </xf>
    <xf numFmtId="164" fontId="29" fillId="9" borderId="3" xfId="2" applyNumberFormat="1" applyFont="1" applyFill="1" applyBorder="1" applyAlignment="1">
      <alignment horizontal="center"/>
    </xf>
    <xf numFmtId="0" fontId="29" fillId="0" borderId="3" xfId="2" applyFont="1" applyBorder="1"/>
    <xf numFmtId="0" fontId="29" fillId="9" borderId="17" xfId="2" applyFont="1" applyFill="1" applyBorder="1" applyAlignment="1">
      <alignment horizontal="right"/>
    </xf>
    <xf numFmtId="0" fontId="29" fillId="9" borderId="3" xfId="2" applyFont="1" applyFill="1" applyBorder="1" applyAlignment="1">
      <alignment horizontal="right"/>
    </xf>
    <xf numFmtId="0" fontId="27" fillId="0" borderId="0" xfId="2" applyFont="1" applyFill="1" applyBorder="1" applyAlignment="1">
      <alignment horizontal="center"/>
    </xf>
    <xf numFmtId="164" fontId="33" fillId="0" borderId="6" xfId="2" applyNumberFormat="1" applyFont="1" applyBorder="1" applyAlignment="1">
      <alignment horizontal="center"/>
    </xf>
    <xf numFmtId="0" fontId="3" fillId="10" borderId="0" xfId="0" applyFont="1" applyFill="1" applyAlignment="1" applyProtection="1">
      <alignment horizontal="center"/>
      <protection locked="0"/>
    </xf>
    <xf numFmtId="8" fontId="1" fillId="10" borderId="0" xfId="1" applyNumberFormat="1" applyFont="1" applyFill="1" applyAlignment="1" applyProtection="1">
      <alignment horizontal="right"/>
      <protection locked="0"/>
    </xf>
    <xf numFmtId="8" fontId="0" fillId="10" borderId="0" xfId="0" applyNumberFormat="1" applyFill="1" applyProtection="1">
      <protection locked="0"/>
    </xf>
    <xf numFmtId="8" fontId="0" fillId="10" borderId="0" xfId="0" applyNumberFormat="1" applyFill="1" applyBorder="1" applyProtection="1">
      <protection locked="0"/>
    </xf>
    <xf numFmtId="8" fontId="0" fillId="10" borderId="3" xfId="0" applyNumberFormat="1" applyFill="1" applyBorder="1" applyProtection="1">
      <protection locked="0"/>
    </xf>
    <xf numFmtId="8" fontId="3" fillId="10" borderId="9" xfId="0" applyNumberFormat="1" applyFont="1" applyFill="1" applyBorder="1" applyProtection="1">
      <protection locked="0"/>
    </xf>
    <xf numFmtId="8" fontId="0" fillId="10" borderId="41" xfId="0" applyNumberFormat="1" applyFill="1" applyBorder="1" applyProtection="1">
      <protection locked="0"/>
    </xf>
    <xf numFmtId="8" fontId="3" fillId="10" borderId="42" xfId="0" applyNumberFormat="1" applyFont="1" applyFill="1" applyBorder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3" fillId="9" borderId="0" xfId="0" applyFont="1" applyFill="1" applyBorder="1" applyAlignment="1" applyProtection="1">
      <alignment horizontal="center"/>
      <protection locked="0"/>
    </xf>
    <xf numFmtId="165" fontId="3" fillId="9" borderId="0" xfId="0" applyNumberFormat="1" applyFont="1" applyFill="1" applyBorder="1" applyAlignment="1" applyProtection="1">
      <alignment horizontal="center"/>
      <protection locked="0"/>
    </xf>
    <xf numFmtId="8" fontId="1" fillId="9" borderId="0" xfId="1" applyNumberFormat="1" applyFont="1" applyFill="1" applyBorder="1" applyAlignment="1" applyProtection="1">
      <alignment horizontal="right"/>
      <protection locked="0"/>
    </xf>
    <xf numFmtId="8" fontId="0" fillId="9" borderId="0" xfId="0" applyNumberFormat="1" applyFill="1" applyBorder="1" applyProtection="1">
      <protection locked="0"/>
    </xf>
    <xf numFmtId="0" fontId="3" fillId="9" borderId="0" xfId="0" applyFont="1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3" fillId="9" borderId="6" xfId="0" applyFont="1" applyFill="1" applyBorder="1" applyProtection="1">
      <protection locked="0"/>
    </xf>
    <xf numFmtId="0" fontId="3" fillId="9" borderId="1" xfId="0" applyFont="1" applyFill="1" applyBorder="1" applyProtection="1">
      <protection locked="0"/>
    </xf>
    <xf numFmtId="14" fontId="35" fillId="9" borderId="0" xfId="2" applyNumberFormat="1" applyFont="1" applyFill="1"/>
    <xf numFmtId="16" fontId="29" fillId="0" borderId="0" xfId="2" applyNumberFormat="1" applyFont="1" applyFill="1" applyAlignment="1">
      <alignment vertical="center"/>
    </xf>
    <xf numFmtId="16" fontId="29" fillId="0" borderId="0" xfId="2" applyNumberFormat="1" applyFont="1" applyAlignment="1">
      <alignment vertical="center"/>
    </xf>
    <xf numFmtId="0" fontId="45" fillId="9" borderId="0" xfId="2" applyFont="1" applyFill="1" applyAlignment="1">
      <alignment horizontal="left" vertical="center" wrapText="1"/>
    </xf>
    <xf numFmtId="0" fontId="34" fillId="9" borderId="0" xfId="2" applyFont="1" applyFill="1" applyBorder="1" applyAlignment="1">
      <alignment horizontal="right"/>
    </xf>
    <xf numFmtId="0" fontId="26" fillId="0" borderId="0" xfId="2" applyBorder="1" applyAlignment="1">
      <alignment vertical="center"/>
    </xf>
    <xf numFmtId="164" fontId="29" fillId="0" borderId="0" xfId="2" applyNumberFormat="1" applyFont="1" applyFill="1" applyBorder="1"/>
    <xf numFmtId="164" fontId="27" fillId="0" borderId="0" xfId="2" applyNumberFormat="1" applyFont="1" applyFill="1" applyBorder="1"/>
    <xf numFmtId="164" fontId="26" fillId="0" borderId="0" xfId="2" applyNumberFormat="1" applyFill="1" applyBorder="1" applyAlignment="1"/>
    <xf numFmtId="164" fontId="26" fillId="0" borderId="0" xfId="2" applyNumberFormat="1" applyFill="1" applyBorder="1" applyAlignment="1">
      <alignment horizontal="right"/>
    </xf>
    <xf numFmtId="0" fontId="29" fillId="0" borderId="0" xfId="2" applyFont="1" applyFill="1" applyBorder="1"/>
    <xf numFmtId="0" fontId="26" fillId="0" borderId="0" xfId="2" applyFill="1" applyBorder="1"/>
    <xf numFmtId="0" fontId="29" fillId="0" borderId="0" xfId="2" applyFont="1" applyFill="1" applyBorder="1" applyAlignment="1"/>
    <xf numFmtId="164" fontId="26" fillId="0" borderId="0" xfId="2" applyNumberFormat="1" applyFill="1" applyBorder="1"/>
    <xf numFmtId="0" fontId="26" fillId="0" borderId="0" xfId="2" applyFill="1" applyBorder="1" applyAlignment="1">
      <alignment horizontal="right"/>
    </xf>
    <xf numFmtId="0" fontId="29" fillId="0" borderId="0" xfId="2" applyFont="1" applyBorder="1" applyAlignment="1">
      <alignment vertical="center"/>
    </xf>
    <xf numFmtId="0" fontId="17" fillId="2" borderId="3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left"/>
      <protection locked="0"/>
    </xf>
    <xf numFmtId="16" fontId="3" fillId="2" borderId="0" xfId="0" applyNumberFormat="1" applyFont="1" applyFill="1" applyBorder="1" applyAlignment="1" applyProtection="1">
      <alignment horizontal="right"/>
      <protection locked="0"/>
    </xf>
    <xf numFmtId="0" fontId="3" fillId="8" borderId="52" xfId="0" applyFont="1" applyFill="1" applyBorder="1" applyAlignment="1" applyProtection="1">
      <alignment horizontal="center"/>
      <protection locked="0"/>
    </xf>
    <xf numFmtId="0" fontId="3" fillId="8" borderId="51" xfId="0" applyFont="1" applyFill="1" applyBorder="1" applyAlignment="1" applyProtection="1">
      <alignment horizontal="center"/>
      <protection locked="0"/>
    </xf>
    <xf numFmtId="0" fontId="3" fillId="8" borderId="44" xfId="0" applyFont="1" applyFill="1" applyBorder="1" applyAlignment="1" applyProtection="1">
      <alignment horizontal="center"/>
      <protection locked="0"/>
    </xf>
    <xf numFmtId="0" fontId="3" fillId="8" borderId="0" xfId="0" applyFont="1" applyFill="1" applyBorder="1" applyAlignment="1" applyProtection="1">
      <alignment horizontal="center"/>
      <protection locked="0"/>
    </xf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horizontal="center"/>
      <protection locked="0"/>
    </xf>
    <xf numFmtId="8" fontId="3" fillId="5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6" borderId="52" xfId="0" applyFont="1" applyFill="1" applyBorder="1" applyAlignment="1" applyProtection="1">
      <alignment horizontal="center"/>
      <protection locked="0"/>
    </xf>
    <xf numFmtId="0" fontId="3" fillId="6" borderId="51" xfId="0" applyFont="1" applyFill="1" applyBorder="1" applyAlignment="1" applyProtection="1">
      <alignment horizontal="center"/>
      <protection locked="0"/>
    </xf>
    <xf numFmtId="0" fontId="3" fillId="6" borderId="50" xfId="0" applyFont="1" applyFill="1" applyBorder="1" applyAlignment="1" applyProtection="1">
      <alignment horizontal="center"/>
      <protection locked="0"/>
    </xf>
    <xf numFmtId="8" fontId="3" fillId="4" borderId="0" xfId="1" applyNumberFormat="1" applyFont="1" applyFill="1" applyBorder="1" applyAlignment="1" applyProtection="1">
      <alignment horizontal="center"/>
      <protection locked="0"/>
    </xf>
    <xf numFmtId="0" fontId="3" fillId="4" borderId="52" xfId="0" applyFont="1" applyFill="1" applyBorder="1" applyAlignment="1" applyProtection="1">
      <alignment horizontal="center"/>
      <protection locked="0"/>
    </xf>
    <xf numFmtId="0" fontId="3" fillId="4" borderId="51" xfId="0" applyFont="1" applyFill="1" applyBorder="1" applyAlignment="1" applyProtection="1">
      <alignment horizontal="center"/>
      <protection locked="0"/>
    </xf>
    <xf numFmtId="0" fontId="3" fillId="4" borderId="50" xfId="0" applyFont="1" applyFill="1" applyBorder="1" applyAlignment="1" applyProtection="1">
      <alignment horizontal="center"/>
      <protection locked="0"/>
    </xf>
    <xf numFmtId="165" fontId="3" fillId="5" borderId="45" xfId="0" applyNumberFormat="1" applyFont="1" applyFill="1" applyBorder="1" applyAlignment="1" applyProtection="1">
      <alignment horizontal="center"/>
      <protection locked="0"/>
    </xf>
    <xf numFmtId="165" fontId="3" fillId="5" borderId="46" xfId="0" applyNumberFormat="1" applyFont="1" applyFill="1" applyBorder="1" applyAlignment="1" applyProtection="1">
      <alignment horizontal="center"/>
      <protection locked="0"/>
    </xf>
    <xf numFmtId="165" fontId="3" fillId="5" borderId="47" xfId="0" applyNumberFormat="1" applyFont="1" applyFill="1" applyBorder="1" applyAlignment="1" applyProtection="1">
      <alignment horizontal="center"/>
      <protection locked="0"/>
    </xf>
    <xf numFmtId="165" fontId="3" fillId="4" borderId="45" xfId="0" applyNumberFormat="1" applyFont="1" applyFill="1" applyBorder="1" applyAlignment="1" applyProtection="1">
      <alignment horizontal="center"/>
      <protection locked="0"/>
    </xf>
    <xf numFmtId="165" fontId="3" fillId="4" borderId="46" xfId="0" applyNumberFormat="1" applyFont="1" applyFill="1" applyBorder="1" applyAlignment="1" applyProtection="1">
      <alignment horizontal="center"/>
      <protection locked="0"/>
    </xf>
    <xf numFmtId="165" fontId="3" fillId="4" borderId="47" xfId="0" applyNumberFormat="1" applyFont="1" applyFill="1" applyBorder="1" applyAlignment="1" applyProtection="1">
      <alignment horizontal="center"/>
      <protection locked="0"/>
    </xf>
    <xf numFmtId="0" fontId="3" fillId="7" borderId="52" xfId="0" applyFont="1" applyFill="1" applyBorder="1" applyAlignment="1" applyProtection="1">
      <alignment horizontal="center"/>
      <protection locked="0"/>
    </xf>
    <xf numFmtId="0" fontId="3" fillId="7" borderId="51" xfId="0" applyFont="1" applyFill="1" applyBorder="1" applyAlignment="1" applyProtection="1">
      <alignment horizontal="center"/>
      <protection locked="0"/>
    </xf>
    <xf numFmtId="0" fontId="3" fillId="7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1" xfId="0" applyFont="1" applyFill="1" applyBorder="1" applyAlignment="1" applyProtection="1">
      <alignment horizontal="center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8" fontId="7" fillId="2" borderId="0" xfId="1" applyNumberFormat="1" applyFont="1" applyFill="1" applyBorder="1" applyAlignment="1" applyProtection="1">
      <alignment horizontal="center"/>
      <protection locked="0"/>
    </xf>
    <xf numFmtId="0" fontId="3" fillId="7" borderId="46" xfId="0" applyFont="1" applyFill="1" applyBorder="1" applyAlignment="1" applyProtection="1">
      <alignment horizontal="center"/>
      <protection locked="0"/>
    </xf>
    <xf numFmtId="0" fontId="3" fillId="7" borderId="47" xfId="0" applyFont="1" applyFill="1" applyBorder="1" applyAlignment="1" applyProtection="1">
      <alignment horizontal="center"/>
      <protection locked="0"/>
    </xf>
    <xf numFmtId="0" fontId="0" fillId="9" borderId="46" xfId="0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right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5" fontId="3" fillId="2" borderId="6" xfId="0" applyNumberFormat="1" applyFont="1" applyFill="1" applyBorder="1" applyAlignment="1" applyProtection="1">
      <alignment horizontal="center" vertical="center"/>
      <protection locked="0"/>
    </xf>
    <xf numFmtId="165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45" fillId="9" borderId="0" xfId="2" applyFont="1" applyFill="1" applyAlignment="1">
      <alignment horizontal="left" vertical="center" wrapText="1"/>
    </xf>
    <xf numFmtId="0" fontId="34" fillId="9" borderId="6" xfId="2" applyFont="1" applyFill="1" applyBorder="1" applyAlignment="1">
      <alignment horizontal="right"/>
    </xf>
    <xf numFmtId="0" fontId="34" fillId="9" borderId="0" xfId="2" applyFont="1" applyFill="1" applyBorder="1" applyAlignment="1">
      <alignment horizontal="right"/>
    </xf>
    <xf numFmtId="0" fontId="29" fillId="9" borderId="6" xfId="2" applyFont="1" applyFill="1" applyBorder="1" applyAlignment="1">
      <alignment horizontal="right"/>
    </xf>
    <xf numFmtId="0" fontId="29" fillId="9" borderId="0" xfId="2" applyFont="1" applyFill="1" applyBorder="1" applyAlignment="1">
      <alignment horizontal="right"/>
    </xf>
    <xf numFmtId="0" fontId="46" fillId="9" borderId="0" xfId="2" applyFont="1" applyFill="1" applyBorder="1" applyAlignment="1">
      <alignment horizontal="left"/>
    </xf>
    <xf numFmtId="0" fontId="46" fillId="9" borderId="1" xfId="2" applyFont="1" applyFill="1" applyBorder="1" applyAlignment="1">
      <alignment horizontal="left"/>
    </xf>
    <xf numFmtId="0" fontId="33" fillId="9" borderId="6" xfId="2" applyFont="1" applyFill="1" applyBorder="1" applyAlignment="1">
      <alignment horizontal="right"/>
    </xf>
    <xf numFmtId="0" fontId="33" fillId="9" borderId="0" xfId="2" applyFont="1" applyFill="1" applyBorder="1" applyAlignment="1">
      <alignment horizontal="right"/>
    </xf>
    <xf numFmtId="0" fontId="34" fillId="9" borderId="6" xfId="2" applyFont="1" applyFill="1" applyBorder="1" applyAlignment="1">
      <alignment horizontal="center" vertical="center"/>
    </xf>
    <xf numFmtId="0" fontId="34" fillId="9" borderId="0" xfId="2" applyFont="1" applyFill="1" applyBorder="1" applyAlignment="1">
      <alignment horizontal="center" vertical="center"/>
    </xf>
    <xf numFmtId="0" fontId="34" fillId="9" borderId="1" xfId="2" applyFont="1" applyFill="1" applyBorder="1" applyAlignment="1">
      <alignment horizontal="center" vertical="center"/>
    </xf>
    <xf numFmtId="0" fontId="34" fillId="9" borderId="17" xfId="2" applyFont="1" applyFill="1" applyBorder="1" applyAlignment="1">
      <alignment horizontal="center" vertical="center"/>
    </xf>
    <xf numFmtId="0" fontId="34" fillId="9" borderId="3" xfId="2" applyFont="1" applyFill="1" applyBorder="1" applyAlignment="1">
      <alignment horizontal="center" vertical="center"/>
    </xf>
    <xf numFmtId="0" fontId="34" fillId="9" borderId="15" xfId="2" applyFont="1" applyFill="1" applyBorder="1" applyAlignment="1">
      <alignment horizontal="center" vertical="center"/>
    </xf>
    <xf numFmtId="0" fontId="47" fillId="10" borderId="0" xfId="2" applyFont="1" applyFill="1" applyBorder="1" applyAlignment="1">
      <alignment horizontal="center"/>
    </xf>
    <xf numFmtId="0" fontId="37" fillId="9" borderId="0" xfId="2" applyFont="1" applyFill="1" applyBorder="1" applyAlignment="1">
      <alignment horizontal="center" wrapText="1"/>
    </xf>
    <xf numFmtId="0" fontId="48" fillId="9" borderId="0" xfId="2" applyFont="1" applyFill="1" applyBorder="1" applyAlignment="1">
      <alignment horizontal="center" vertical="center"/>
    </xf>
    <xf numFmtId="0" fontId="49" fillId="9" borderId="0" xfId="2" applyFont="1" applyFill="1" applyBorder="1" applyAlignment="1">
      <alignment horizontal="center" vertical="center"/>
    </xf>
    <xf numFmtId="0" fontId="50" fillId="9" borderId="0" xfId="2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1805940</xdr:colOff>
          <xdr:row>0</xdr:row>
          <xdr:rowOff>182880</xdr:rowOff>
        </xdr:from>
        <xdr:to>
          <xdr:col>3</xdr:col>
          <xdr:colOff>53340</xdr:colOff>
          <xdr:row>0</xdr:row>
          <xdr:rowOff>388620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 Night Packages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281940</xdr:colOff>
          <xdr:row>0</xdr:row>
          <xdr:rowOff>175260</xdr:rowOff>
        </xdr:from>
        <xdr:to>
          <xdr:col>7</xdr:col>
          <xdr:colOff>434340</xdr:colOff>
          <xdr:row>0</xdr:row>
          <xdr:rowOff>381000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 &amp; 2 Night Packages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129540</xdr:colOff>
          <xdr:row>0</xdr:row>
          <xdr:rowOff>167640</xdr:rowOff>
        </xdr:from>
        <xdr:to>
          <xdr:col>10</xdr:col>
          <xdr:colOff>281940</xdr:colOff>
          <xdr:row>0</xdr:row>
          <xdr:rowOff>373380</xdr:rowOff>
        </xdr:to>
        <xdr:sp macro="" textlink="">
          <xdr:nvSpPr>
            <xdr:cNvPr id="9219" name="Butto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 2 &amp; 3 Night Packages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0</xdr:row>
          <xdr:rowOff>205740</xdr:rowOff>
        </xdr:from>
        <xdr:to>
          <xdr:col>0</xdr:col>
          <xdr:colOff>1546860</xdr:colOff>
          <xdr:row>0</xdr:row>
          <xdr:rowOff>411480</xdr:rowOff>
        </xdr:to>
        <xdr:sp macro="" textlink="">
          <xdr:nvSpPr>
            <xdr:cNvPr id="9220" name="Butto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2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All Overnight Packages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0</xdr:row>
          <xdr:rowOff>144780</xdr:rowOff>
        </xdr:from>
        <xdr:to>
          <xdr:col>13</xdr:col>
          <xdr:colOff>167640</xdr:colOff>
          <xdr:row>0</xdr:row>
          <xdr:rowOff>350520</xdr:rowOff>
        </xdr:to>
        <xdr:sp macro="" textlink="">
          <xdr:nvSpPr>
            <xdr:cNvPr id="9221" name="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2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Preview Entire Page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tabColor indexed="40"/>
    <pageSetUpPr fitToPage="1"/>
  </sheetPr>
  <dimension ref="A1:AS28"/>
  <sheetViews>
    <sheetView workbookViewId="0">
      <selection activeCell="C12" sqref="C3:C12"/>
    </sheetView>
  </sheetViews>
  <sheetFormatPr defaultColWidth="9.109375" defaultRowHeight="13.2" x14ac:dyDescent="0.25"/>
  <cols>
    <col min="1" max="1" width="32.44140625" style="4" customWidth="1"/>
    <col min="2" max="8" width="12.6640625" style="4" customWidth="1"/>
    <col min="9" max="9" width="10.88671875" style="4" customWidth="1"/>
    <col min="10" max="10" width="17.44140625" style="4" customWidth="1"/>
    <col min="11" max="23" width="9.6640625" style="4" customWidth="1"/>
    <col min="24" max="16384" width="9.109375" style="4"/>
  </cols>
  <sheetData>
    <row r="1" spans="1:17" ht="45.75" customHeight="1" x14ac:dyDescent="0.3">
      <c r="A1" s="140" t="s">
        <v>41</v>
      </c>
      <c r="B1" s="476" t="s">
        <v>40</v>
      </c>
      <c r="C1" s="476"/>
      <c r="D1" s="476"/>
      <c r="E1" s="476"/>
      <c r="F1" s="476"/>
      <c r="G1" s="476"/>
      <c r="H1" s="476"/>
    </row>
    <row r="2" spans="1:17" ht="30" customHeight="1" x14ac:dyDescent="0.25">
      <c r="A2" s="243" t="s">
        <v>129</v>
      </c>
      <c r="B2" s="245">
        <v>44475</v>
      </c>
      <c r="C2" s="138">
        <f>B2+1</f>
        <v>44476</v>
      </c>
      <c r="D2" s="246">
        <f>C2+1</f>
        <v>44477</v>
      </c>
      <c r="E2" s="138">
        <f>D2+1</f>
        <v>44478</v>
      </c>
      <c r="F2" s="246">
        <f>E2+1</f>
        <v>44479</v>
      </c>
      <c r="G2" s="138">
        <f>F2+1</f>
        <v>44480</v>
      </c>
      <c r="H2" s="246">
        <f>+G2+1</f>
        <v>44481</v>
      </c>
      <c r="I2" s="23"/>
      <c r="P2" s="3"/>
    </row>
    <row r="3" spans="1:17" ht="20.100000000000001" customHeight="1" x14ac:dyDescent="0.3">
      <c r="A3" s="141" t="s">
        <v>29</v>
      </c>
      <c r="B3" s="91"/>
      <c r="C3" s="87">
        <v>15</v>
      </c>
      <c r="D3" s="91">
        <v>15</v>
      </c>
      <c r="E3" s="88"/>
      <c r="F3" s="91"/>
      <c r="G3" s="88"/>
      <c r="H3" s="93"/>
      <c r="I3" s="2"/>
      <c r="K3" s="83" t="s">
        <v>16</v>
      </c>
      <c r="L3" s="5"/>
      <c r="Q3" s="3"/>
    </row>
    <row r="4" spans="1:17" ht="20.100000000000001" customHeight="1" x14ac:dyDescent="0.25">
      <c r="A4" s="141" t="s">
        <v>30</v>
      </c>
      <c r="B4" s="91"/>
      <c r="C4" s="89"/>
      <c r="D4" s="91"/>
      <c r="E4" s="88"/>
      <c r="F4" s="91"/>
      <c r="G4" s="88"/>
      <c r="H4" s="93"/>
      <c r="I4" s="2"/>
      <c r="J4" s="74" t="s">
        <v>20</v>
      </c>
      <c r="K4" s="84" t="s">
        <v>19</v>
      </c>
      <c r="L4" s="4" t="s">
        <v>39</v>
      </c>
    </row>
    <row r="5" spans="1:17" ht="20.100000000000001" customHeight="1" x14ac:dyDescent="0.25">
      <c r="A5" s="141" t="s">
        <v>31</v>
      </c>
      <c r="B5" s="91"/>
      <c r="C5" s="90"/>
      <c r="D5" s="91"/>
      <c r="E5" s="88"/>
      <c r="F5" s="91"/>
      <c r="G5" s="88"/>
      <c r="H5" s="93"/>
      <c r="I5" s="2"/>
      <c r="J5" s="75" t="s">
        <v>11</v>
      </c>
      <c r="K5" s="9">
        <f>IF($K$4="y",0%,8%)</f>
        <v>0.08</v>
      </c>
      <c r="L5" s="5"/>
    </row>
    <row r="6" spans="1:17" ht="20.100000000000001" customHeight="1" x14ac:dyDescent="0.25">
      <c r="A6" s="141" t="s">
        <v>32</v>
      </c>
      <c r="B6" s="91"/>
      <c r="C6" s="87"/>
      <c r="D6" s="91"/>
      <c r="E6" s="88"/>
      <c r="F6" s="91"/>
      <c r="G6" s="88"/>
      <c r="H6" s="93"/>
      <c r="I6" s="2"/>
      <c r="J6" s="75" t="s">
        <v>12</v>
      </c>
      <c r="K6" s="9">
        <f>IF($K$4="y",0%,4%)</f>
        <v>0.04</v>
      </c>
      <c r="L6" s="5"/>
      <c r="M6" s="5"/>
    </row>
    <row r="7" spans="1:17" ht="20.100000000000001" customHeight="1" x14ac:dyDescent="0.25">
      <c r="A7" s="375" t="s">
        <v>105</v>
      </c>
      <c r="B7" s="91"/>
      <c r="C7" s="87"/>
      <c r="D7" s="91"/>
      <c r="E7" s="88"/>
      <c r="F7" s="91"/>
      <c r="G7" s="88"/>
      <c r="H7" s="93"/>
      <c r="I7" s="2"/>
      <c r="J7" s="75"/>
      <c r="K7" s="59"/>
    </row>
    <row r="8" spans="1:17" ht="20.100000000000001" customHeight="1" x14ac:dyDescent="0.3">
      <c r="A8" s="141" t="s">
        <v>33</v>
      </c>
      <c r="B8" s="91"/>
      <c r="C8" s="87"/>
      <c r="D8" s="91"/>
      <c r="E8" s="88"/>
      <c r="F8" s="91"/>
      <c r="G8" s="88"/>
      <c r="H8" s="143"/>
      <c r="I8" s="2"/>
      <c r="J8" s="76"/>
      <c r="K8" s="83" t="s">
        <v>18</v>
      </c>
      <c r="M8" s="5"/>
    </row>
    <row r="9" spans="1:17" ht="20.100000000000001" customHeight="1" x14ac:dyDescent="0.25">
      <c r="A9" s="141" t="s">
        <v>34</v>
      </c>
      <c r="B9" s="91"/>
      <c r="C9" s="87"/>
      <c r="D9" s="91"/>
      <c r="E9" s="88"/>
      <c r="F9" s="91"/>
      <c r="G9" s="88"/>
      <c r="H9" s="142"/>
      <c r="I9" s="2"/>
      <c r="J9" s="77" t="s">
        <v>5</v>
      </c>
      <c r="K9" s="85">
        <v>155</v>
      </c>
      <c r="L9" s="3"/>
      <c r="M9" s="5"/>
    </row>
    <row r="10" spans="1:17" s="3" customFormat="1" ht="20.100000000000001" customHeight="1" x14ac:dyDescent="0.25">
      <c r="A10" s="141" t="s">
        <v>35</v>
      </c>
      <c r="B10" s="91"/>
      <c r="C10" s="87"/>
      <c r="D10" s="91"/>
      <c r="E10" s="88"/>
      <c r="F10" s="91"/>
      <c r="G10" s="88"/>
      <c r="H10" s="142"/>
      <c r="I10" s="2"/>
      <c r="J10" s="77" t="s">
        <v>6</v>
      </c>
      <c r="K10" s="86">
        <f>+K9</f>
        <v>155</v>
      </c>
      <c r="M10" s="4"/>
    </row>
    <row r="11" spans="1:17" ht="20.100000000000001" customHeight="1" x14ac:dyDescent="0.25">
      <c r="A11" s="141" t="s">
        <v>82</v>
      </c>
      <c r="B11" s="91">
        <v>39.450000000000003</v>
      </c>
      <c r="C11" s="87">
        <v>37.75</v>
      </c>
      <c r="D11" s="91"/>
      <c r="E11" s="88"/>
      <c r="F11" s="91"/>
      <c r="G11" s="88"/>
      <c r="H11" s="142"/>
      <c r="I11" s="2"/>
      <c r="J11" s="77" t="s">
        <v>7</v>
      </c>
      <c r="K11" s="86">
        <f>+K9+10</f>
        <v>165</v>
      </c>
      <c r="L11" s="3"/>
    </row>
    <row r="12" spans="1:17" ht="20.100000000000001" customHeight="1" x14ac:dyDescent="0.25">
      <c r="A12" s="141" t="s">
        <v>83</v>
      </c>
      <c r="B12" s="91"/>
      <c r="C12" s="87"/>
      <c r="D12" s="91"/>
      <c r="E12" s="88"/>
      <c r="F12" s="91"/>
      <c r="G12" s="88"/>
      <c r="H12" s="142"/>
      <c r="I12" s="2"/>
      <c r="J12" s="77" t="s">
        <v>8</v>
      </c>
      <c r="K12" s="137">
        <f>+K11+10</f>
        <v>175</v>
      </c>
      <c r="L12" s="3"/>
    </row>
    <row r="13" spans="1:17" ht="20.100000000000001" customHeight="1" x14ac:dyDescent="0.25">
      <c r="A13" s="141" t="s">
        <v>37</v>
      </c>
      <c r="B13" s="91"/>
      <c r="C13" s="87"/>
      <c r="D13" s="91"/>
      <c r="E13" s="88"/>
      <c r="F13" s="91"/>
      <c r="G13" s="88"/>
      <c r="H13" s="143"/>
      <c r="I13" s="2"/>
      <c r="J13" s="76"/>
      <c r="L13" s="3"/>
    </row>
    <row r="14" spans="1:17" ht="20.100000000000001" customHeight="1" x14ac:dyDescent="0.3">
      <c r="A14" s="144" t="s">
        <v>37</v>
      </c>
      <c r="B14" s="91"/>
      <c r="C14" s="87"/>
      <c r="D14" s="91"/>
      <c r="E14" s="88"/>
      <c r="F14" s="91"/>
      <c r="G14" s="88"/>
      <c r="H14" s="142"/>
      <c r="I14" s="2"/>
      <c r="J14" s="76"/>
      <c r="K14" s="83" t="s">
        <v>17</v>
      </c>
      <c r="L14" s="3"/>
    </row>
    <row r="15" spans="1:17" ht="20.100000000000001" customHeight="1" x14ac:dyDescent="0.25">
      <c r="A15" s="144" t="s">
        <v>45</v>
      </c>
      <c r="B15" s="91"/>
      <c r="C15" s="87"/>
      <c r="D15" s="91"/>
      <c r="E15" s="88"/>
      <c r="F15" s="91"/>
      <c r="G15" s="88"/>
      <c r="H15" s="142"/>
      <c r="I15" s="2"/>
      <c r="J15" s="77" t="s">
        <v>13</v>
      </c>
      <c r="K15" s="85">
        <v>0</v>
      </c>
    </row>
    <row r="16" spans="1:17" ht="20.100000000000001" customHeight="1" x14ac:dyDescent="0.25">
      <c r="A16" s="244" t="s">
        <v>44</v>
      </c>
      <c r="B16" s="91"/>
      <c r="C16" s="87"/>
      <c r="D16" s="91"/>
      <c r="E16" s="88"/>
      <c r="F16" s="91"/>
      <c r="G16" s="88"/>
      <c r="H16" s="143"/>
      <c r="I16" s="2"/>
      <c r="J16" s="77" t="s">
        <v>9</v>
      </c>
      <c r="K16" s="85">
        <v>5</v>
      </c>
      <c r="L16" s="15" t="s">
        <v>104</v>
      </c>
    </row>
    <row r="17" spans="1:45" ht="20.100000000000001" customHeight="1" x14ac:dyDescent="0.25">
      <c r="A17" s="141" t="s">
        <v>43</v>
      </c>
      <c r="B17" s="91"/>
      <c r="C17" s="87"/>
      <c r="D17" s="91"/>
      <c r="E17" s="88"/>
      <c r="F17" s="91"/>
      <c r="G17" s="88"/>
      <c r="H17" s="142"/>
      <c r="I17" s="2"/>
      <c r="J17" s="77" t="s">
        <v>14</v>
      </c>
      <c r="K17" s="85">
        <v>0</v>
      </c>
    </row>
    <row r="18" spans="1:45" ht="20.100000000000001" customHeight="1" x14ac:dyDescent="0.25">
      <c r="A18" s="144" t="s">
        <v>38</v>
      </c>
      <c r="B18" s="92"/>
      <c r="C18" s="87"/>
      <c r="D18" s="91"/>
      <c r="E18" s="88"/>
      <c r="F18" s="91"/>
      <c r="G18" s="88"/>
      <c r="H18" s="145"/>
      <c r="I18" s="2"/>
      <c r="J18" s="77" t="s">
        <v>10</v>
      </c>
      <c r="K18" s="85">
        <v>0</v>
      </c>
    </row>
    <row r="19" spans="1:45" ht="9.9" customHeight="1" x14ac:dyDescent="0.25">
      <c r="A19" s="146"/>
      <c r="B19" s="60"/>
      <c r="C19" s="81"/>
      <c r="D19" s="60"/>
      <c r="E19" s="60"/>
      <c r="F19" s="60"/>
      <c r="G19" s="60"/>
      <c r="H19" s="60"/>
      <c r="I19" s="56"/>
    </row>
    <row r="20" spans="1:45" x14ac:dyDescent="0.25">
      <c r="A20" s="82"/>
      <c r="B20" s="20"/>
      <c r="C20" s="20"/>
      <c r="D20" s="20"/>
      <c r="E20" s="20"/>
      <c r="F20" s="20"/>
      <c r="G20" s="20"/>
      <c r="H20" s="20"/>
      <c r="I20" s="139"/>
    </row>
    <row r="21" spans="1:45" s="5" customFormat="1" x14ac:dyDescent="0.25">
      <c r="A21" s="78"/>
      <c r="B21" s="58"/>
      <c r="C21" s="58"/>
      <c r="D21" s="58"/>
      <c r="E21" s="58"/>
      <c r="F21" s="58"/>
      <c r="G21" s="58"/>
      <c r="H21" s="58"/>
      <c r="I21" s="27"/>
    </row>
    <row r="22" spans="1:45" x14ac:dyDescent="0.25">
      <c r="A22" s="78"/>
      <c r="B22" s="58"/>
      <c r="C22" s="58"/>
      <c r="D22" s="58"/>
      <c r="E22" s="58"/>
      <c r="F22" s="58"/>
      <c r="G22" s="58"/>
      <c r="H22" s="58"/>
      <c r="I22" s="27"/>
    </row>
    <row r="23" spans="1:45" s="5" customFormat="1" x14ac:dyDescent="0.25">
      <c r="A23" s="79"/>
      <c r="B23" s="80"/>
      <c r="C23" s="80"/>
      <c r="D23" s="80"/>
      <c r="E23" s="80"/>
      <c r="F23" s="80"/>
      <c r="G23" s="80"/>
      <c r="H23" s="80"/>
      <c r="I23" s="7"/>
    </row>
    <row r="24" spans="1:45" s="5" customFormat="1" x14ac:dyDescent="0.25">
      <c r="A24" s="79"/>
      <c r="B24" s="80"/>
      <c r="C24" s="80"/>
      <c r="D24" s="80"/>
      <c r="E24" s="80"/>
      <c r="F24" s="80"/>
      <c r="G24" s="80"/>
      <c r="H24" s="80"/>
      <c r="I24" s="7"/>
    </row>
    <row r="25" spans="1:45" x14ac:dyDescent="0.25"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x14ac:dyDescent="0.25"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x14ac:dyDescent="0.25"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x14ac:dyDescent="0.25"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</sheetData>
  <sheetProtection selectLockedCells="1"/>
  <mergeCells count="1">
    <mergeCell ref="B1:H1"/>
  </mergeCells>
  <phoneticPr fontId="0" type="noConversion"/>
  <pageMargins left="0.66" right="0.18" top="0.89" bottom="0.22" header="0.47" footer="0.18"/>
  <pageSetup scale="73" orientation="landscape" r:id="rId1"/>
  <headerFooter alignWithMargins="0">
    <oddHeader>&amp;CGROUP PACKAGE ELEMENTS</oddHeader>
    <oddFooter>&amp;R&amp;D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indexed="51"/>
    <pageSetUpPr fitToPage="1"/>
  </sheetPr>
  <dimension ref="A1:AP85"/>
  <sheetViews>
    <sheetView topLeftCell="A28" workbookViewId="0">
      <selection activeCell="E45" sqref="E44:E45"/>
    </sheetView>
  </sheetViews>
  <sheetFormatPr defaultColWidth="9.109375" defaultRowHeight="13.2" x14ac:dyDescent="0.25"/>
  <cols>
    <col min="1" max="1" width="25.6640625" style="4" customWidth="1"/>
    <col min="2" max="7" width="22.6640625" style="4" customWidth="1"/>
    <col min="8" max="16" width="9.109375" style="4"/>
    <col min="17" max="17" width="8.88671875" style="4" customWidth="1"/>
    <col min="18" max="16384" width="9.109375" style="4"/>
  </cols>
  <sheetData>
    <row r="1" spans="1:14" ht="35.1" customHeight="1" x14ac:dyDescent="0.25">
      <c r="A1" s="112" t="str">
        <f>'INPUT '!A2</f>
        <v>NYS Association of Self Insured Counties</v>
      </c>
      <c r="B1" s="240">
        <f>'INPUT '!B2</f>
        <v>44475</v>
      </c>
      <c r="C1" s="241">
        <f>'INPUT '!C2</f>
        <v>44476</v>
      </c>
      <c r="D1" s="240">
        <f>'INPUT '!D2</f>
        <v>44477</v>
      </c>
      <c r="E1" s="242">
        <f>'INPUT '!E2</f>
        <v>44478</v>
      </c>
      <c r="F1" s="240">
        <f>'INPUT '!F2</f>
        <v>44479</v>
      </c>
      <c r="G1" s="242">
        <f>'INPUT '!G2</f>
        <v>44480</v>
      </c>
      <c r="M1" s="3"/>
    </row>
    <row r="2" spans="1:14" x14ac:dyDescent="0.25">
      <c r="A2" s="61" t="s">
        <v>48</v>
      </c>
      <c r="B2" s="111">
        <f>'INPUT '!B3</f>
        <v>0</v>
      </c>
      <c r="C2" s="62"/>
      <c r="D2" s="110"/>
      <c r="E2" s="63"/>
      <c r="F2" s="110"/>
      <c r="G2" s="63"/>
      <c r="N2" s="3"/>
    </row>
    <row r="3" spans="1:14" x14ac:dyDescent="0.25">
      <c r="A3" s="61" t="s">
        <v>46</v>
      </c>
      <c r="B3" s="108">
        <f>'INPUT '!B4</f>
        <v>0</v>
      </c>
      <c r="C3" s="62"/>
      <c r="D3" s="110"/>
      <c r="E3" s="63"/>
      <c r="F3" s="110"/>
      <c r="G3" s="63"/>
    </row>
    <row r="4" spans="1:14" x14ac:dyDescent="0.25">
      <c r="A4" s="61" t="s">
        <v>49</v>
      </c>
      <c r="B4" s="108">
        <f>'INPUT '!B5</f>
        <v>0</v>
      </c>
      <c r="C4" s="65"/>
      <c r="D4" s="111"/>
      <c r="E4" s="65"/>
      <c r="F4" s="111"/>
      <c r="G4" s="65"/>
      <c r="H4" s="3"/>
      <c r="K4" s="3"/>
    </row>
    <row r="5" spans="1:14" x14ac:dyDescent="0.25">
      <c r="A5" s="61" t="s">
        <v>47</v>
      </c>
      <c r="B5" s="108">
        <f>'INPUT '!B6</f>
        <v>0</v>
      </c>
      <c r="C5" s="64">
        <f>'INPUT '!C6</f>
        <v>0</v>
      </c>
      <c r="D5" s="108">
        <f>'INPUT '!D6</f>
        <v>0</v>
      </c>
      <c r="E5" s="64">
        <f>'INPUT '!E6</f>
        <v>0</v>
      </c>
      <c r="F5" s="108">
        <f>'INPUT '!F6</f>
        <v>0</v>
      </c>
      <c r="G5" s="64">
        <f>'INPUT '!G6</f>
        <v>0</v>
      </c>
      <c r="H5" s="3"/>
      <c r="K5" s="3"/>
    </row>
    <row r="6" spans="1:14" x14ac:dyDescent="0.25">
      <c r="A6" s="61" t="s">
        <v>50</v>
      </c>
      <c r="B6" s="108">
        <f>'INPUT '!B7</f>
        <v>0</v>
      </c>
      <c r="C6" s="64">
        <f>'INPUT '!C7</f>
        <v>0</v>
      </c>
      <c r="D6" s="108">
        <f>'INPUT '!D7</f>
        <v>0</v>
      </c>
      <c r="E6" s="64">
        <f>'INPUT '!E7</f>
        <v>0</v>
      </c>
      <c r="F6" s="108">
        <f>'INPUT '!F7</f>
        <v>0</v>
      </c>
      <c r="G6" s="64">
        <f>'INPUT '!G7</f>
        <v>0</v>
      </c>
      <c r="H6" s="3"/>
      <c r="K6" s="3"/>
    </row>
    <row r="7" spans="1:14" x14ac:dyDescent="0.25">
      <c r="A7" s="61" t="s">
        <v>51</v>
      </c>
      <c r="B7" s="108">
        <f>'INPUT '!B8</f>
        <v>0</v>
      </c>
      <c r="C7" s="64">
        <f>'INPUT '!C8</f>
        <v>0</v>
      </c>
      <c r="D7" s="108">
        <f>'INPUT '!D8</f>
        <v>0</v>
      </c>
      <c r="E7" s="64">
        <f>'INPUT '!E8</f>
        <v>0</v>
      </c>
      <c r="F7" s="108">
        <f>'INPUT '!F8</f>
        <v>0</v>
      </c>
      <c r="G7" s="64">
        <f>'INPUT '!G8</f>
        <v>0</v>
      </c>
    </row>
    <row r="8" spans="1:14" x14ac:dyDescent="0.25">
      <c r="A8" s="61" t="s">
        <v>52</v>
      </c>
      <c r="B8" s="108">
        <f>'INPUT '!B9</f>
        <v>0</v>
      </c>
      <c r="C8" s="64">
        <f>'INPUT '!C9</f>
        <v>0</v>
      </c>
      <c r="D8" s="108">
        <f>'INPUT '!D9</f>
        <v>0</v>
      </c>
      <c r="E8" s="64">
        <f>'INPUT '!E9</f>
        <v>0</v>
      </c>
      <c r="F8" s="108">
        <f>'INPUT '!F9</f>
        <v>0</v>
      </c>
      <c r="G8" s="64">
        <f>'INPUT '!G9</f>
        <v>0</v>
      </c>
    </row>
    <row r="9" spans="1:14" x14ac:dyDescent="0.25">
      <c r="A9" s="61" t="s">
        <v>53</v>
      </c>
      <c r="B9" s="108">
        <f>'INPUT '!B10</f>
        <v>0</v>
      </c>
      <c r="C9" s="64">
        <f>'INPUT '!C10</f>
        <v>0</v>
      </c>
      <c r="D9" s="108">
        <f>'INPUT '!D10</f>
        <v>0</v>
      </c>
      <c r="E9" s="64">
        <f>'INPUT '!E10</f>
        <v>0</v>
      </c>
      <c r="F9" s="108">
        <f>'INPUT '!F10</f>
        <v>0</v>
      </c>
      <c r="G9" s="64">
        <f>'INPUT '!G10</f>
        <v>0</v>
      </c>
    </row>
    <row r="10" spans="1:14" x14ac:dyDescent="0.25">
      <c r="A10" s="61" t="s">
        <v>80</v>
      </c>
      <c r="B10" s="108">
        <f>'INPUT '!B11</f>
        <v>39.450000000000003</v>
      </c>
      <c r="C10" s="64">
        <f>'INPUT '!C11</f>
        <v>37.75</v>
      </c>
      <c r="D10" s="108">
        <f>'INPUT '!D11</f>
        <v>0</v>
      </c>
      <c r="E10" s="64">
        <f>'INPUT '!E11</f>
        <v>0</v>
      </c>
      <c r="F10" s="108">
        <f>'INPUT '!F11</f>
        <v>0</v>
      </c>
      <c r="G10" s="64">
        <f>'INPUT '!G11</f>
        <v>0</v>
      </c>
    </row>
    <row r="11" spans="1:14" x14ac:dyDescent="0.25">
      <c r="A11" s="61" t="s">
        <v>81</v>
      </c>
      <c r="B11" s="108">
        <f>'INPUT '!B12</f>
        <v>0</v>
      </c>
      <c r="C11" s="64">
        <f>'INPUT '!C12</f>
        <v>0</v>
      </c>
      <c r="D11" s="108">
        <f>'INPUT '!D12</f>
        <v>0</v>
      </c>
      <c r="E11" s="64">
        <f>'INPUT '!E12</f>
        <v>0</v>
      </c>
      <c r="F11" s="108">
        <f>'INPUT '!F12</f>
        <v>0</v>
      </c>
      <c r="G11" s="64">
        <f>'INPUT '!G12</f>
        <v>0</v>
      </c>
    </row>
    <row r="12" spans="1:14" x14ac:dyDescent="0.25">
      <c r="A12" s="61" t="s">
        <v>66</v>
      </c>
      <c r="B12" s="109">
        <f>'INPUT '!C3</f>
        <v>15</v>
      </c>
      <c r="C12" s="66">
        <f>'INPUT '!D3</f>
        <v>15</v>
      </c>
      <c r="D12" s="109">
        <f>'INPUT '!E3</f>
        <v>0</v>
      </c>
      <c r="E12" s="66">
        <f>'INPUT '!F3</f>
        <v>0</v>
      </c>
      <c r="F12" s="109">
        <f>'INPUT '!G3</f>
        <v>0</v>
      </c>
      <c r="G12" s="64">
        <f>'INPUT '!H3</f>
        <v>0</v>
      </c>
    </row>
    <row r="13" spans="1:14" s="3" customFormat="1" x14ac:dyDescent="0.25">
      <c r="A13" s="61" t="s">
        <v>54</v>
      </c>
      <c r="B13" s="108">
        <f>'INPUT '!C4</f>
        <v>0</v>
      </c>
      <c r="C13" s="64">
        <f>'INPUT '!D4</f>
        <v>0</v>
      </c>
      <c r="D13" s="108">
        <f>'INPUT '!E4</f>
        <v>0</v>
      </c>
      <c r="E13" s="64">
        <f>'INPUT '!F4</f>
        <v>0</v>
      </c>
      <c r="F13" s="108">
        <f>'INPUT '!G4</f>
        <v>0</v>
      </c>
      <c r="G13" s="64">
        <f>'INPUT '!H4</f>
        <v>0</v>
      </c>
    </row>
    <row r="14" spans="1:14" x14ac:dyDescent="0.25">
      <c r="A14" s="61" t="s">
        <v>55</v>
      </c>
      <c r="B14" s="303">
        <f>'INPUT '!C5</f>
        <v>0</v>
      </c>
      <c r="C14" s="304">
        <f>'INPUT '!D5</f>
        <v>0</v>
      </c>
      <c r="D14" s="303">
        <f>'INPUT '!E5</f>
        <v>0</v>
      </c>
      <c r="E14" s="304">
        <f>'INPUT '!F5</f>
        <v>0</v>
      </c>
      <c r="F14" s="303">
        <f>'INPUT '!G5</f>
        <v>0</v>
      </c>
      <c r="G14" s="64">
        <f>'INPUT '!H5</f>
        <v>0</v>
      </c>
    </row>
    <row r="15" spans="1:14" x14ac:dyDescent="0.25">
      <c r="A15" s="61" t="s">
        <v>86</v>
      </c>
      <c r="B15" s="109">
        <v>0</v>
      </c>
      <c r="C15" s="66">
        <v>0</v>
      </c>
      <c r="D15" s="109">
        <v>0</v>
      </c>
      <c r="E15" s="66">
        <v>0</v>
      </c>
      <c r="F15" s="109">
        <v>0</v>
      </c>
      <c r="G15" s="64">
        <v>0</v>
      </c>
    </row>
    <row r="16" spans="1:14" s="3" customFormat="1" x14ac:dyDescent="0.25">
      <c r="A16" s="61" t="s">
        <v>87</v>
      </c>
      <c r="B16" s="108">
        <v>0</v>
      </c>
      <c r="C16" s="64">
        <v>0</v>
      </c>
      <c r="D16" s="108">
        <v>0</v>
      </c>
      <c r="E16" s="64">
        <v>0</v>
      </c>
      <c r="F16" s="108">
        <v>0</v>
      </c>
      <c r="G16" s="64">
        <v>0</v>
      </c>
    </row>
    <row r="17" spans="1:42" x14ac:dyDescent="0.25">
      <c r="A17" s="61" t="s">
        <v>57</v>
      </c>
      <c r="B17" s="108">
        <f>'INPUT '!B13</f>
        <v>0</v>
      </c>
      <c r="C17" s="64">
        <f>'INPUT '!C13</f>
        <v>0</v>
      </c>
      <c r="D17" s="108">
        <f>'INPUT '!D13</f>
        <v>0</v>
      </c>
      <c r="E17" s="64">
        <f>'INPUT '!E13</f>
        <v>0</v>
      </c>
      <c r="F17" s="108">
        <f>'INPUT '!F13</f>
        <v>0</v>
      </c>
      <c r="G17" s="64">
        <f>'INPUT '!G13</f>
        <v>0</v>
      </c>
    </row>
    <row r="18" spans="1:42" x14ac:dyDescent="0.25">
      <c r="A18" s="61" t="s">
        <v>56</v>
      </c>
      <c r="B18" s="108">
        <f>'INPUT '!B14</f>
        <v>0</v>
      </c>
      <c r="C18" s="64">
        <f>'INPUT '!C14</f>
        <v>0</v>
      </c>
      <c r="D18" s="108">
        <f>'INPUT '!D14</f>
        <v>0</v>
      </c>
      <c r="E18" s="64">
        <f>'INPUT '!E14</f>
        <v>0</v>
      </c>
      <c r="F18" s="108">
        <f>'INPUT '!F14</f>
        <v>0</v>
      </c>
      <c r="G18" s="64">
        <f>'INPUT '!G14</f>
        <v>0</v>
      </c>
      <c r="I18" s="3"/>
    </row>
    <row r="19" spans="1:42" x14ac:dyDescent="0.25">
      <c r="A19" s="61" t="s">
        <v>58</v>
      </c>
      <c r="B19" s="109">
        <f>'INPUT '!B15</f>
        <v>0</v>
      </c>
      <c r="C19" s="66">
        <f>'INPUT '!C15</f>
        <v>0</v>
      </c>
      <c r="D19" s="109">
        <f>'INPUT '!D15</f>
        <v>0</v>
      </c>
      <c r="E19" s="66">
        <f>'INPUT '!E15</f>
        <v>0</v>
      </c>
      <c r="F19" s="109">
        <f>'INPUT '!F15</f>
        <v>0</v>
      </c>
      <c r="G19" s="64">
        <f>'INPUT '!G15</f>
        <v>0</v>
      </c>
      <c r="I19" s="3"/>
    </row>
    <row r="20" spans="1:42" x14ac:dyDescent="0.25">
      <c r="A20" s="61" t="s">
        <v>59</v>
      </c>
      <c r="B20" s="108">
        <f>'INPUT '!B16</f>
        <v>0</v>
      </c>
      <c r="C20" s="64">
        <f>'INPUT '!C16</f>
        <v>0</v>
      </c>
      <c r="D20" s="108">
        <f>'INPUT '!D16</f>
        <v>0</v>
      </c>
      <c r="E20" s="64">
        <f>'INPUT '!E16</f>
        <v>0</v>
      </c>
      <c r="F20" s="108">
        <f>'INPUT '!F16</f>
        <v>0</v>
      </c>
      <c r="G20" s="64">
        <f>'INPUT '!G16</f>
        <v>0</v>
      </c>
      <c r="I20" s="3"/>
    </row>
    <row r="21" spans="1:42" x14ac:dyDescent="0.25">
      <c r="A21" s="61" t="s">
        <v>60</v>
      </c>
      <c r="B21" s="109">
        <f>'INPUT '!B17</f>
        <v>0</v>
      </c>
      <c r="C21" s="66">
        <f>'INPUT '!C17</f>
        <v>0</v>
      </c>
      <c r="D21" s="109">
        <f>'INPUT '!D17</f>
        <v>0</v>
      </c>
      <c r="E21" s="67">
        <f>'INPUT '!E17</f>
        <v>0</v>
      </c>
      <c r="F21" s="109">
        <f>'INPUT '!F17</f>
        <v>0</v>
      </c>
      <c r="G21" s="64">
        <f>'INPUT '!G17</f>
        <v>0</v>
      </c>
      <c r="I21" s="8"/>
    </row>
    <row r="22" spans="1:42" x14ac:dyDescent="0.25">
      <c r="A22" s="115" t="s">
        <v>61</v>
      </c>
      <c r="B22" s="116">
        <f>'INPUT '!B18</f>
        <v>0</v>
      </c>
      <c r="C22" s="117">
        <f>'INPUT '!C18</f>
        <v>0</v>
      </c>
      <c r="D22" s="116">
        <f>'INPUT '!D18</f>
        <v>0</v>
      </c>
      <c r="E22" s="118">
        <f>'INPUT '!E18</f>
        <v>0</v>
      </c>
      <c r="F22" s="116">
        <f>'INPUT '!F18</f>
        <v>0</v>
      </c>
      <c r="G22" s="64">
        <f>'INPUT '!G18</f>
        <v>0</v>
      </c>
    </row>
    <row r="23" spans="1:42" s="3" customFormat="1" ht="35.1" customHeight="1" x14ac:dyDescent="0.25">
      <c r="A23" s="1"/>
      <c r="B23" s="113" t="s">
        <v>78</v>
      </c>
      <c r="C23" s="114" t="str">
        <f>B23</f>
        <v xml:space="preserve">  OVERNIGHT   PACKAGE ELEMENTS</v>
      </c>
      <c r="D23" s="113" t="str">
        <f>C23</f>
        <v xml:space="preserve">  OVERNIGHT   PACKAGE ELEMENTS</v>
      </c>
      <c r="E23" s="114" t="str">
        <f>D23</f>
        <v xml:space="preserve">  OVERNIGHT   PACKAGE ELEMENTS</v>
      </c>
      <c r="F23" s="113" t="str">
        <f>E23</f>
        <v xml:space="preserve">  OVERNIGHT   PACKAGE ELEMENTS</v>
      </c>
      <c r="G23" s="114" t="str">
        <f>F23</f>
        <v xml:space="preserve">  OVERNIGHT   PACKAGE ELEMENTS</v>
      </c>
    </row>
    <row r="24" spans="1:42" s="3" customFormat="1" ht="15" customHeight="1" x14ac:dyDescent="0.25">
      <c r="A24" s="1"/>
      <c r="B24" s="104" t="str">
        <f t="shared" ref="B24:G38" si="0">IF(B2&gt;0.01,$A2," ")</f>
        <v xml:space="preserve"> </v>
      </c>
      <c r="C24" s="106" t="str">
        <f t="shared" si="0"/>
        <v xml:space="preserve"> </v>
      </c>
      <c r="D24" s="104" t="str">
        <f t="shared" si="0"/>
        <v xml:space="preserve"> </v>
      </c>
      <c r="E24" s="106" t="str">
        <f t="shared" si="0"/>
        <v xml:space="preserve"> </v>
      </c>
      <c r="F24" s="104" t="str">
        <f t="shared" si="0"/>
        <v xml:space="preserve"> </v>
      </c>
      <c r="G24" s="106" t="str">
        <f t="shared" si="0"/>
        <v xml:space="preserve"> </v>
      </c>
    </row>
    <row r="25" spans="1:42" s="3" customFormat="1" ht="15" customHeight="1" x14ac:dyDescent="0.25">
      <c r="A25" s="1"/>
      <c r="B25" s="104" t="str">
        <f t="shared" si="0"/>
        <v xml:space="preserve"> </v>
      </c>
      <c r="C25" s="106" t="str">
        <f t="shared" si="0"/>
        <v xml:space="preserve"> </v>
      </c>
      <c r="D25" s="104" t="str">
        <f t="shared" si="0"/>
        <v xml:space="preserve"> </v>
      </c>
      <c r="E25" s="106" t="str">
        <f t="shared" si="0"/>
        <v xml:space="preserve"> </v>
      </c>
      <c r="F25" s="104" t="str">
        <f t="shared" si="0"/>
        <v xml:space="preserve"> </v>
      </c>
      <c r="G25" s="106" t="str">
        <f t="shared" si="0"/>
        <v xml:space="preserve"> </v>
      </c>
    </row>
    <row r="26" spans="1:42" s="3" customFormat="1" ht="15" customHeight="1" x14ac:dyDescent="0.25">
      <c r="A26" s="1"/>
      <c r="B26" s="104" t="str">
        <f t="shared" si="0"/>
        <v xml:space="preserve"> </v>
      </c>
      <c r="C26" s="106" t="str">
        <f t="shared" si="0"/>
        <v xml:space="preserve"> </v>
      </c>
      <c r="D26" s="104" t="str">
        <f t="shared" si="0"/>
        <v xml:space="preserve"> </v>
      </c>
      <c r="E26" s="106" t="str">
        <f t="shared" si="0"/>
        <v xml:space="preserve"> </v>
      </c>
      <c r="F26" s="104" t="str">
        <f t="shared" si="0"/>
        <v xml:space="preserve"> </v>
      </c>
      <c r="G26" s="106" t="str">
        <f t="shared" si="0"/>
        <v xml:space="preserve"> </v>
      </c>
    </row>
    <row r="27" spans="1:42" s="3" customFormat="1" ht="15" customHeight="1" x14ac:dyDescent="0.25">
      <c r="A27" s="1"/>
      <c r="B27" s="104" t="str">
        <f t="shared" si="0"/>
        <v xml:space="preserve"> </v>
      </c>
      <c r="C27" s="106" t="str">
        <f t="shared" si="0"/>
        <v xml:space="preserve"> </v>
      </c>
      <c r="D27" s="104" t="str">
        <f t="shared" si="0"/>
        <v xml:space="preserve"> </v>
      </c>
      <c r="E27" s="106" t="str">
        <f t="shared" si="0"/>
        <v xml:space="preserve"> </v>
      </c>
      <c r="F27" s="104" t="str">
        <f t="shared" si="0"/>
        <v xml:space="preserve"> </v>
      </c>
      <c r="G27" s="106" t="str">
        <f t="shared" si="0"/>
        <v xml:space="preserve"> </v>
      </c>
    </row>
    <row r="28" spans="1:42" s="3" customFormat="1" ht="15" customHeight="1" x14ac:dyDescent="0.25">
      <c r="A28" s="1"/>
      <c r="B28" s="104" t="str">
        <f t="shared" si="0"/>
        <v xml:space="preserve"> </v>
      </c>
      <c r="C28" s="106" t="str">
        <f t="shared" si="0"/>
        <v xml:space="preserve"> </v>
      </c>
      <c r="D28" s="104" t="str">
        <f t="shared" si="0"/>
        <v xml:space="preserve"> </v>
      </c>
      <c r="E28" s="106" t="str">
        <f t="shared" si="0"/>
        <v xml:space="preserve"> </v>
      </c>
      <c r="F28" s="104" t="str">
        <f t="shared" si="0"/>
        <v xml:space="preserve"> </v>
      </c>
      <c r="G28" s="106" t="str">
        <f t="shared" si="0"/>
        <v xml:space="preserve"> </v>
      </c>
    </row>
    <row r="29" spans="1:42" ht="15" customHeight="1" x14ac:dyDescent="0.25">
      <c r="A29" s="1"/>
      <c r="B29" s="104" t="str">
        <f t="shared" si="0"/>
        <v xml:space="preserve"> </v>
      </c>
      <c r="C29" s="106" t="str">
        <f t="shared" si="0"/>
        <v xml:space="preserve"> </v>
      </c>
      <c r="D29" s="104" t="str">
        <f t="shared" si="0"/>
        <v xml:space="preserve"> </v>
      </c>
      <c r="E29" s="106" t="str">
        <f t="shared" si="0"/>
        <v xml:space="preserve"> </v>
      </c>
      <c r="F29" s="104" t="str">
        <f t="shared" si="0"/>
        <v xml:space="preserve"> </v>
      </c>
      <c r="G29" s="106" t="str">
        <f t="shared" si="0"/>
        <v xml:space="preserve"> 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5" customHeight="1" x14ac:dyDescent="0.25">
      <c r="A30" s="1"/>
      <c r="B30" s="104" t="str">
        <f t="shared" si="0"/>
        <v xml:space="preserve"> </v>
      </c>
      <c r="C30" s="106" t="str">
        <f t="shared" si="0"/>
        <v xml:space="preserve"> </v>
      </c>
      <c r="D30" s="104" t="str">
        <f t="shared" si="0"/>
        <v xml:space="preserve"> </v>
      </c>
      <c r="E30" s="106" t="str">
        <f t="shared" si="0"/>
        <v xml:space="preserve"> </v>
      </c>
      <c r="F30" s="104" t="str">
        <f t="shared" si="0"/>
        <v xml:space="preserve"> </v>
      </c>
      <c r="G30" s="106" t="str">
        <f t="shared" si="0"/>
        <v xml:space="preserve"> 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5" customHeight="1" x14ac:dyDescent="0.25">
      <c r="A31" s="1"/>
      <c r="B31" s="104" t="str">
        <f t="shared" si="0"/>
        <v xml:space="preserve"> </v>
      </c>
      <c r="C31" s="106" t="str">
        <f t="shared" si="0"/>
        <v xml:space="preserve"> </v>
      </c>
      <c r="D31" s="104" t="str">
        <f t="shared" si="0"/>
        <v xml:space="preserve"> </v>
      </c>
      <c r="E31" s="106" t="str">
        <f t="shared" si="0"/>
        <v xml:space="preserve"> </v>
      </c>
      <c r="F31" s="104" t="str">
        <f t="shared" si="0"/>
        <v xml:space="preserve"> </v>
      </c>
      <c r="G31" s="106" t="str">
        <f t="shared" si="0"/>
        <v xml:space="preserve"> 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5" customHeight="1" x14ac:dyDescent="0.25">
      <c r="A32" s="1"/>
      <c r="B32" s="104" t="str">
        <f t="shared" si="0"/>
        <v xml:space="preserve">Dinner  </v>
      </c>
      <c r="C32" s="106" t="str">
        <f t="shared" si="0"/>
        <v xml:space="preserve">Dinner  </v>
      </c>
      <c r="D32" s="104" t="str">
        <f t="shared" si="0"/>
        <v xml:space="preserve"> </v>
      </c>
      <c r="E32" s="106" t="str">
        <f t="shared" si="0"/>
        <v xml:space="preserve"> </v>
      </c>
      <c r="F32" s="104" t="str">
        <f t="shared" si="0"/>
        <v xml:space="preserve"> </v>
      </c>
      <c r="G32" s="106" t="str">
        <f t="shared" si="0"/>
        <v xml:space="preserve"> 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5" customHeight="1" x14ac:dyDescent="0.25">
      <c r="A33" s="1"/>
      <c r="B33" s="104" t="str">
        <f t="shared" si="0"/>
        <v xml:space="preserve"> </v>
      </c>
      <c r="C33" s="106" t="str">
        <f t="shared" si="0"/>
        <v xml:space="preserve"> </v>
      </c>
      <c r="D33" s="104" t="str">
        <f t="shared" si="0"/>
        <v xml:space="preserve"> </v>
      </c>
      <c r="E33" s="106" t="str">
        <f t="shared" si="0"/>
        <v xml:space="preserve"> </v>
      </c>
      <c r="F33" s="104" t="str">
        <f t="shared" si="0"/>
        <v xml:space="preserve"> </v>
      </c>
      <c r="G33" s="106" t="str">
        <f t="shared" si="0"/>
        <v xml:space="preserve"> 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5" customHeight="1" x14ac:dyDescent="0.25">
      <c r="A34" s="1"/>
      <c r="B34" s="104" t="str">
        <f t="shared" si="0"/>
        <v xml:space="preserve">Breakfast - Tomorrow </v>
      </c>
      <c r="C34" s="106" t="str">
        <f t="shared" si="0"/>
        <v xml:space="preserve">Breakfast - Tomorrow </v>
      </c>
      <c r="D34" s="104" t="str">
        <f t="shared" si="0"/>
        <v xml:space="preserve"> </v>
      </c>
      <c r="E34" s="106" t="str">
        <f t="shared" si="0"/>
        <v xml:space="preserve"> </v>
      </c>
      <c r="F34" s="104" t="str">
        <f t="shared" si="0"/>
        <v xml:space="preserve"> </v>
      </c>
      <c r="G34" s="106" t="str">
        <f t="shared" si="0"/>
        <v xml:space="preserve"> 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5" customHeight="1" x14ac:dyDescent="0.25">
      <c r="A35" s="1"/>
      <c r="B35" s="104" t="str">
        <f t="shared" si="0"/>
        <v xml:space="preserve"> </v>
      </c>
      <c r="C35" s="106" t="str">
        <f t="shared" si="0"/>
        <v xml:space="preserve"> </v>
      </c>
      <c r="D35" s="104" t="str">
        <f t="shared" si="0"/>
        <v xml:space="preserve"> </v>
      </c>
      <c r="E35" s="106" t="str">
        <f t="shared" si="0"/>
        <v xml:space="preserve"> </v>
      </c>
      <c r="F35" s="104" t="str">
        <f t="shared" si="0"/>
        <v xml:space="preserve"> </v>
      </c>
      <c r="G35" s="106" t="str">
        <f t="shared" si="0"/>
        <v xml:space="preserve"> 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5" customHeight="1" x14ac:dyDescent="0.25">
      <c r="A36" s="1"/>
      <c r="B36" s="104" t="str">
        <f t="shared" si="0"/>
        <v xml:space="preserve"> </v>
      </c>
      <c r="C36" s="106" t="str">
        <f t="shared" si="0"/>
        <v xml:space="preserve"> </v>
      </c>
      <c r="D36" s="104" t="str">
        <f t="shared" si="0"/>
        <v xml:space="preserve"> </v>
      </c>
      <c r="E36" s="106" t="str">
        <f t="shared" si="0"/>
        <v xml:space="preserve"> </v>
      </c>
      <c r="F36" s="104" t="str">
        <f t="shared" si="0"/>
        <v xml:space="preserve"> </v>
      </c>
      <c r="G36" s="106" t="str">
        <f t="shared" si="0"/>
        <v xml:space="preserve"> 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5" customHeight="1" x14ac:dyDescent="0.25">
      <c r="A37" s="1"/>
      <c r="B37" s="104" t="str">
        <f t="shared" si="0"/>
        <v xml:space="preserve"> </v>
      </c>
      <c r="C37" s="106" t="str">
        <f t="shared" si="0"/>
        <v xml:space="preserve"> </v>
      </c>
      <c r="D37" s="104" t="str">
        <f t="shared" si="0"/>
        <v xml:space="preserve"> </v>
      </c>
      <c r="E37" s="106" t="str">
        <f t="shared" si="0"/>
        <v xml:space="preserve"> </v>
      </c>
      <c r="F37" s="104" t="str">
        <f t="shared" si="0"/>
        <v xml:space="preserve"> </v>
      </c>
      <c r="G37" s="106" t="str">
        <f t="shared" si="0"/>
        <v xml:space="preserve"> 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5" customHeight="1" x14ac:dyDescent="0.25">
      <c r="A38" s="1"/>
      <c r="B38" s="104" t="str">
        <f t="shared" si="0"/>
        <v xml:space="preserve"> </v>
      </c>
      <c r="C38" s="106" t="str">
        <f t="shared" si="0"/>
        <v xml:space="preserve"> </v>
      </c>
      <c r="D38" s="104" t="str">
        <f t="shared" si="0"/>
        <v xml:space="preserve"> </v>
      </c>
      <c r="E38" s="106" t="str">
        <f t="shared" si="0"/>
        <v xml:space="preserve"> </v>
      </c>
      <c r="F38" s="104" t="str">
        <f t="shared" si="0"/>
        <v xml:space="preserve"> </v>
      </c>
      <c r="G38" s="106" t="str">
        <f t="shared" si="0"/>
        <v xml:space="preserve"> 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5" customHeight="1" x14ac:dyDescent="0.25">
      <c r="A39" s="1"/>
      <c r="B39" s="104" t="str">
        <f t="shared" ref="B39:B44" si="1">IF(B17&gt;0.01,$A17," ")</f>
        <v xml:space="preserve"> </v>
      </c>
      <c r="C39" s="106" t="str">
        <f t="shared" ref="C39:E44" si="2">IF(C17&gt;0.01,$A17," ")</f>
        <v xml:space="preserve"> </v>
      </c>
      <c r="D39" s="104" t="str">
        <f t="shared" si="2"/>
        <v xml:space="preserve"> </v>
      </c>
      <c r="E39" s="106" t="str">
        <f t="shared" si="2"/>
        <v xml:space="preserve"> </v>
      </c>
      <c r="F39" s="104" t="str">
        <f t="shared" ref="F39:G44" si="3">IF(F17&gt;0.01,$A17," ")</f>
        <v xml:space="preserve"> </v>
      </c>
      <c r="G39" s="106" t="str">
        <f t="shared" si="3"/>
        <v xml:space="preserve"> 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5" customHeight="1" x14ac:dyDescent="0.25">
      <c r="A40" s="6"/>
      <c r="B40" s="104" t="str">
        <f t="shared" si="1"/>
        <v xml:space="preserve"> </v>
      </c>
      <c r="C40" s="106" t="str">
        <f t="shared" si="2"/>
        <v xml:space="preserve"> </v>
      </c>
      <c r="D40" s="104" t="str">
        <f t="shared" si="2"/>
        <v xml:space="preserve"> </v>
      </c>
      <c r="E40" s="106" t="str">
        <f t="shared" si="2"/>
        <v xml:space="preserve"> </v>
      </c>
      <c r="F40" s="104" t="str">
        <f t="shared" si="3"/>
        <v xml:space="preserve"> </v>
      </c>
      <c r="G40" s="106" t="str">
        <f t="shared" si="3"/>
        <v xml:space="preserve"> 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5" customHeight="1" x14ac:dyDescent="0.25">
      <c r="A41" s="1"/>
      <c r="B41" s="104" t="str">
        <f t="shared" si="1"/>
        <v xml:space="preserve"> </v>
      </c>
      <c r="C41" s="106" t="str">
        <f t="shared" si="2"/>
        <v xml:space="preserve"> </v>
      </c>
      <c r="D41" s="104" t="str">
        <f t="shared" si="2"/>
        <v xml:space="preserve"> </v>
      </c>
      <c r="E41" s="106" t="str">
        <f t="shared" si="2"/>
        <v xml:space="preserve"> </v>
      </c>
      <c r="F41" s="104" t="str">
        <f t="shared" si="3"/>
        <v xml:space="preserve"> </v>
      </c>
      <c r="G41" s="106" t="str">
        <f t="shared" si="3"/>
        <v xml:space="preserve"> </v>
      </c>
      <c r="K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5" customHeight="1" x14ac:dyDescent="0.25">
      <c r="A42" s="1"/>
      <c r="B42" s="104" t="str">
        <f t="shared" si="1"/>
        <v xml:space="preserve"> </v>
      </c>
      <c r="C42" s="106" t="str">
        <f t="shared" si="2"/>
        <v xml:space="preserve"> </v>
      </c>
      <c r="D42" s="104" t="str">
        <f t="shared" si="2"/>
        <v xml:space="preserve"> </v>
      </c>
      <c r="E42" s="106" t="str">
        <f t="shared" si="2"/>
        <v xml:space="preserve"> </v>
      </c>
      <c r="F42" s="104" t="str">
        <f t="shared" si="3"/>
        <v xml:space="preserve"> </v>
      </c>
      <c r="G42" s="106" t="str">
        <f t="shared" si="3"/>
        <v xml:space="preserve"> </v>
      </c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5" customHeight="1" x14ac:dyDescent="0.25">
      <c r="A43" s="1"/>
      <c r="B43" s="104" t="str">
        <f t="shared" si="1"/>
        <v xml:space="preserve"> </v>
      </c>
      <c r="C43" s="106" t="str">
        <f t="shared" si="2"/>
        <v xml:space="preserve"> </v>
      </c>
      <c r="D43" s="104" t="str">
        <f t="shared" si="2"/>
        <v xml:space="preserve"> </v>
      </c>
      <c r="E43" s="106" t="str">
        <f t="shared" si="2"/>
        <v xml:space="preserve"> </v>
      </c>
      <c r="F43" s="104" t="str">
        <f t="shared" si="3"/>
        <v xml:space="preserve"> </v>
      </c>
      <c r="G43" s="106" t="str">
        <f t="shared" si="3"/>
        <v xml:space="preserve"> </v>
      </c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5" customHeight="1" x14ac:dyDescent="0.25">
      <c r="A44" s="1"/>
      <c r="B44" s="105" t="str">
        <f t="shared" si="1"/>
        <v xml:space="preserve"> </v>
      </c>
      <c r="C44" s="107" t="str">
        <f t="shared" si="2"/>
        <v xml:space="preserve"> </v>
      </c>
      <c r="D44" s="105" t="str">
        <f t="shared" si="2"/>
        <v xml:space="preserve"> </v>
      </c>
      <c r="E44" s="107" t="str">
        <f t="shared" si="2"/>
        <v xml:space="preserve"> </v>
      </c>
      <c r="F44" s="105" t="str">
        <f t="shared" si="3"/>
        <v xml:space="preserve"> </v>
      </c>
      <c r="G44" s="107" t="str">
        <f t="shared" si="3"/>
        <v xml:space="preserve"> </v>
      </c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20.100000000000001" customHeight="1" x14ac:dyDescent="0.25">
      <c r="A45" s="1"/>
      <c r="B45" s="100">
        <f>$B$1</f>
        <v>44475</v>
      </c>
      <c r="C45" s="100">
        <f>$C$1</f>
        <v>44476</v>
      </c>
      <c r="D45" s="100">
        <f>$D$1</f>
        <v>44477</v>
      </c>
      <c r="E45" s="100">
        <f>$E$1</f>
        <v>44478</v>
      </c>
      <c r="F45" s="100">
        <f>$F$1</f>
        <v>44479</v>
      </c>
      <c r="G45" s="100">
        <f>$G$1</f>
        <v>44480</v>
      </c>
      <c r="H45" s="10" t="s">
        <v>22</v>
      </c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x14ac:dyDescent="0.25">
      <c r="A46" s="13" t="s">
        <v>64</v>
      </c>
      <c r="B46" s="122">
        <f>SUM($B$2:$B$22)</f>
        <v>54.45</v>
      </c>
      <c r="C46" s="123">
        <f>SUM($C$2:$C$22)</f>
        <v>52.75</v>
      </c>
      <c r="D46" s="122">
        <f>SUM($D$2:$D$22)</f>
        <v>0</v>
      </c>
      <c r="E46" s="123">
        <f>SUM($E$2:$E$22)</f>
        <v>0</v>
      </c>
      <c r="F46" s="122">
        <f>SUM($F$2:$F$22)</f>
        <v>0</v>
      </c>
      <c r="G46" s="123">
        <f>SUM($G$2:$G$22)</f>
        <v>0</v>
      </c>
      <c r="H46" s="11">
        <f>SUM($B$46:$G$46)</f>
        <v>107.2</v>
      </c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x14ac:dyDescent="0.25">
      <c r="A47" s="14" t="s">
        <v>62</v>
      </c>
      <c r="B47" s="126">
        <f>SUM($B$2:$B$18)*20%+SUM($B$19*20%)</f>
        <v>10.89</v>
      </c>
      <c r="C47" s="127">
        <f>SUM($C$2:$C$18)*20%+SUM($C$19*20%)</f>
        <v>10.55</v>
      </c>
      <c r="D47" s="126">
        <f>SUM($D$2:$D$18)*18%+SUM($D$19*20%)</f>
        <v>0</v>
      </c>
      <c r="E47" s="127">
        <f>SUM($E$2:$E$18)*18%+SUM($E$19*20%)</f>
        <v>0</v>
      </c>
      <c r="F47" s="126">
        <f>SUM($F$2:$F$18)*18%+SUM($F$19*20%)</f>
        <v>0</v>
      </c>
      <c r="G47" s="127">
        <f>SUM($G$2:$G$18)*18%+SUM($G$19*20%)</f>
        <v>0</v>
      </c>
      <c r="H47" s="128">
        <f>SUM($B$47:$G$47)</f>
        <v>21.44</v>
      </c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x14ac:dyDescent="0.25">
      <c r="A48" s="16" t="s">
        <v>42</v>
      </c>
      <c r="B48" s="129">
        <f t="shared" ref="B48:G48" si="4">SUM(B46:B47)</f>
        <v>65.34</v>
      </c>
      <c r="C48" s="130">
        <f t="shared" si="4"/>
        <v>63.3</v>
      </c>
      <c r="D48" s="129">
        <f t="shared" si="4"/>
        <v>0</v>
      </c>
      <c r="E48" s="130">
        <f t="shared" si="4"/>
        <v>0</v>
      </c>
      <c r="F48" s="270">
        <f t="shared" si="4"/>
        <v>0</v>
      </c>
      <c r="G48" s="131">
        <f t="shared" si="4"/>
        <v>0</v>
      </c>
      <c r="H48" s="132">
        <f>SUM($B$48:$G$48)</f>
        <v>128.63999999999999</v>
      </c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3.8" thickBot="1" x14ac:dyDescent="0.3">
      <c r="A49" s="14" t="s">
        <v>63</v>
      </c>
      <c r="B49" s="21">
        <f>(SUM($B$2:$B$22)*'INPUT '!$K$5)+((SUM($B$2:$B$18)*3%)*'INPUT '!$K$5)+(SUM($B$19*5%)*'INPUT '!$K$5)</f>
        <v>4.4866800000000007</v>
      </c>
      <c r="C49" s="22">
        <f>(SUM($C$2:$C$22)*'INPUT '!$K$5)+((SUM($C$2:$C$18)*3%)*'INPUT '!$K$5)+(SUM($C$19*5%)*'INPUT '!$K$5)</f>
        <v>4.3465999999999996</v>
      </c>
      <c r="D49" s="21">
        <f>(SUM($D$2:$D$22)*'INPUT '!$K$5)+((SUM($D$2:$D$18)*3%)*'INPUT '!$K$5)+(SUM($D$19*5%)*'INPUT '!$K$5)</f>
        <v>0</v>
      </c>
      <c r="E49" s="22">
        <f>(SUM($E$2:$E$22)*'INPUT '!$K$5)+((SUM($E$2:$E$18)*3%)*'INPUT '!$K$5)+(SUM($E$19*5%)*'INPUT '!$K$5)</f>
        <v>0</v>
      </c>
      <c r="F49" s="21">
        <f>(SUM($F$2:$F$22)*'INPUT '!$K$5)+((SUM($F$2:$F$18)*3%)*'INPUT '!$K$5)+(SUM($F$19*5%)*'INPUT '!$K$5)</f>
        <v>0</v>
      </c>
      <c r="G49" s="22">
        <f>(SUM($G$2:$G$22)*'INPUT '!$K$5)+((SUM($G$2:$G$18)*3%)*'INPUT '!$K$5)+(SUM($G$19*5%)*'INPUT '!$K$5)</f>
        <v>0</v>
      </c>
      <c r="H49" s="95">
        <f>SUM($B$49:$G$49)</f>
        <v>8.8332800000000002</v>
      </c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3.8" thickTop="1" x14ac:dyDescent="0.25">
      <c r="A50" s="16" t="s">
        <v>65</v>
      </c>
      <c r="B50" s="96">
        <f t="shared" ref="B50:G50" si="5">SUM(B48:B49)</f>
        <v>69.82668000000001</v>
      </c>
      <c r="C50" s="57">
        <f t="shared" si="5"/>
        <v>67.646599999999992</v>
      </c>
      <c r="D50" s="96">
        <f t="shared" si="5"/>
        <v>0</v>
      </c>
      <c r="E50" s="57">
        <f t="shared" si="5"/>
        <v>0</v>
      </c>
      <c r="F50" s="96">
        <f t="shared" si="5"/>
        <v>0</v>
      </c>
      <c r="G50" s="57">
        <f t="shared" si="5"/>
        <v>0</v>
      </c>
      <c r="H50" s="12">
        <f>SUM($B$50:$G$50)</f>
        <v>137.47327999999999</v>
      </c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20.100000000000001" customHeight="1" x14ac:dyDescent="0.25">
      <c r="A51" s="18"/>
      <c r="B51" s="20"/>
      <c r="C51" s="19"/>
      <c r="D51" s="20"/>
      <c r="E51" s="20"/>
      <c r="F51" s="20"/>
      <c r="G51" s="20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x14ac:dyDescent="0.25">
      <c r="A52" s="53"/>
      <c r="B52" s="68">
        <f>$B$45</f>
        <v>44475</v>
      </c>
      <c r="C52" s="69">
        <f>$C$45</f>
        <v>44476</v>
      </c>
      <c r="D52" s="17"/>
      <c r="E52" s="3"/>
      <c r="F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5">
      <c r="A53" s="13" t="str">
        <f>A46</f>
        <v xml:space="preserve">Package Items </v>
      </c>
      <c r="B53" s="97">
        <f>SUM($B$46:$C$46)</f>
        <v>107.2</v>
      </c>
      <c r="C53" s="70"/>
      <c r="D53" s="47"/>
      <c r="F53" s="47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5">
      <c r="A54" s="13" t="str">
        <f>A47</f>
        <v xml:space="preserve">Gratuity </v>
      </c>
      <c r="B54" s="98">
        <f>SUM($B$47:$C$47)</f>
        <v>21.44</v>
      </c>
      <c r="C54" s="71"/>
      <c r="D54" s="47"/>
      <c r="F54" s="47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5">
      <c r="A55" s="6" t="str">
        <f>A48</f>
        <v xml:space="preserve">Subtotal </v>
      </c>
      <c r="B55" s="121">
        <f>SUM($B$48:$C$48)</f>
        <v>128.63999999999999</v>
      </c>
      <c r="C55" s="72"/>
      <c r="D55" s="32"/>
      <c r="F55" s="32"/>
    </row>
    <row r="56" spans="1:42" ht="13.8" thickBot="1" x14ac:dyDescent="0.3">
      <c r="A56" s="13" t="str">
        <f>A49</f>
        <v xml:space="preserve">Sales Tax </v>
      </c>
      <c r="B56" s="133">
        <f>SUM($B$49:$C$49)</f>
        <v>8.8332800000000002</v>
      </c>
      <c r="C56" s="71"/>
      <c r="H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ht="13.8" thickTop="1" x14ac:dyDescent="0.25">
      <c r="A57" s="6" t="str">
        <f>A50</f>
        <v xml:space="preserve">Total </v>
      </c>
      <c r="B57" s="103">
        <f>SUM($B$50:$C$50)</f>
        <v>137.47327999999999</v>
      </c>
      <c r="C57" s="73"/>
      <c r="D57" s="17"/>
      <c r="E57" s="3"/>
      <c r="F57" s="3"/>
    </row>
    <row r="58" spans="1:42" ht="20.100000000000001" customHeight="1" x14ac:dyDescent="0.25">
      <c r="B58" s="31"/>
      <c r="C58" s="51"/>
      <c r="D58" s="52"/>
      <c r="F58" s="268"/>
    </row>
    <row r="59" spans="1:42" x14ac:dyDescent="0.25">
      <c r="A59" s="53"/>
      <c r="B59" s="50">
        <f>$B$45</f>
        <v>44475</v>
      </c>
      <c r="C59" s="99">
        <f>$C$45</f>
        <v>44476</v>
      </c>
      <c r="D59" s="28">
        <f>$D$45</f>
        <v>44477</v>
      </c>
      <c r="E59" s="17"/>
      <c r="F59" s="269"/>
      <c r="G59" s="3"/>
    </row>
    <row r="60" spans="1:42" x14ac:dyDescent="0.25">
      <c r="A60" s="13" t="str">
        <f>A53</f>
        <v xml:space="preserve">Package Items </v>
      </c>
      <c r="B60" s="124">
        <f>SUM($B$46:$D$46)</f>
        <v>107.2</v>
      </c>
      <c r="C60" s="25"/>
      <c r="D60" s="33"/>
      <c r="F60" s="268"/>
    </row>
    <row r="61" spans="1:42" x14ac:dyDescent="0.25">
      <c r="A61" s="13" t="str">
        <f>A54</f>
        <v xml:space="preserve">Gratuity </v>
      </c>
      <c r="B61" s="44">
        <f>SUM($B$47:$D$47)</f>
        <v>21.44</v>
      </c>
      <c r="C61" s="45"/>
      <c r="D61" s="34"/>
      <c r="F61" s="268"/>
    </row>
    <row r="62" spans="1:42" x14ac:dyDescent="0.25">
      <c r="A62" s="6" t="str">
        <f>A55</f>
        <v xml:space="preserve">Subtotal </v>
      </c>
      <c r="B62" s="135">
        <f>SUM($B$48:$D$48)</f>
        <v>128.63999999999999</v>
      </c>
      <c r="C62" s="28"/>
      <c r="D62" s="36"/>
      <c r="E62" s="30"/>
      <c r="F62" s="31"/>
      <c r="G62" s="30"/>
    </row>
    <row r="63" spans="1:42" ht="13.8" thickBot="1" x14ac:dyDescent="0.3">
      <c r="A63" s="13" t="str">
        <f>A56</f>
        <v xml:space="preserve">Sales Tax </v>
      </c>
      <c r="B63" s="134">
        <f>SUM($B$49:$D$49)</f>
        <v>8.8332800000000002</v>
      </c>
      <c r="C63" s="45"/>
      <c r="D63" s="35"/>
      <c r="E63" s="29"/>
      <c r="F63" s="269"/>
      <c r="G63" s="29"/>
    </row>
    <row r="64" spans="1:42" ht="13.8" thickTop="1" x14ac:dyDescent="0.25">
      <c r="A64" s="6" t="str">
        <f>A57</f>
        <v xml:space="preserve">Total </v>
      </c>
      <c r="B64" s="101">
        <f>SUM($B$50:$D$50)</f>
        <v>137.47327999999999</v>
      </c>
      <c r="C64" s="54"/>
      <c r="D64" s="37"/>
      <c r="E64" s="30"/>
      <c r="F64" s="31"/>
      <c r="G64" s="30"/>
    </row>
    <row r="65" spans="1:7" ht="20.100000000000001" customHeight="1" x14ac:dyDescent="0.25">
      <c r="B65" s="48"/>
      <c r="C65" s="48"/>
      <c r="D65" s="48"/>
      <c r="E65" s="48"/>
      <c r="F65" s="3"/>
      <c r="G65" s="3"/>
    </row>
    <row r="66" spans="1:7" x14ac:dyDescent="0.25">
      <c r="A66" s="53"/>
      <c r="B66" s="49">
        <f>$B$45</f>
        <v>44475</v>
      </c>
      <c r="C66" s="24">
        <f>$C$45</f>
        <v>44476</v>
      </c>
      <c r="D66" s="24">
        <f>$D$45</f>
        <v>44477</v>
      </c>
      <c r="E66" s="119">
        <f>$E$45</f>
        <v>44478</v>
      </c>
      <c r="F66" s="94"/>
      <c r="G66" s="94"/>
    </row>
    <row r="67" spans="1:7" x14ac:dyDescent="0.25">
      <c r="A67" s="13" t="str">
        <f>A60</f>
        <v xml:space="preserve">Package Items </v>
      </c>
      <c r="B67" s="125">
        <f>SUM($B$46:$E$46)</f>
        <v>107.2</v>
      </c>
      <c r="C67" s="26"/>
      <c r="D67" s="38"/>
      <c r="E67" s="39"/>
      <c r="F67" s="3"/>
      <c r="G67" s="3"/>
    </row>
    <row r="68" spans="1:7" x14ac:dyDescent="0.25">
      <c r="A68" s="13" t="str">
        <f>A61</f>
        <v xml:space="preserve">Gratuity </v>
      </c>
      <c r="B68" s="120">
        <f>SUM($B$47:$E$47)</f>
        <v>21.44</v>
      </c>
      <c r="C68" s="46"/>
      <c r="D68" s="40"/>
      <c r="E68" s="41"/>
      <c r="F68" s="3"/>
      <c r="G68" s="3"/>
    </row>
    <row r="69" spans="1:7" x14ac:dyDescent="0.25">
      <c r="A69" s="6" t="str">
        <f>A62</f>
        <v xml:space="preserve">Subtotal </v>
      </c>
      <c r="B69" s="136">
        <f>SUM($B$48:$E$48)</f>
        <v>128.63999999999999</v>
      </c>
      <c r="C69" s="55"/>
      <c r="D69" s="40"/>
      <c r="E69" s="41"/>
      <c r="F69" s="3"/>
      <c r="G69" s="3"/>
    </row>
    <row r="70" spans="1:7" ht="13.8" thickBot="1" x14ac:dyDescent="0.3">
      <c r="A70" s="13" t="str">
        <f>A63</f>
        <v xml:space="preserve">Sales Tax </v>
      </c>
      <c r="B70" s="120">
        <f>SUM($B$49:$E$49)</f>
        <v>8.8332800000000002</v>
      </c>
      <c r="C70" s="46"/>
      <c r="D70" s="40"/>
      <c r="E70" s="41"/>
      <c r="F70" s="3"/>
      <c r="G70" s="3"/>
    </row>
    <row r="71" spans="1:7" ht="13.8" thickTop="1" x14ac:dyDescent="0.25">
      <c r="A71" s="6" t="str">
        <f>A64</f>
        <v xml:space="preserve">Total </v>
      </c>
      <c r="B71" s="102">
        <f>SUM($B$50:$E$50)</f>
        <v>137.47327999999999</v>
      </c>
      <c r="C71" s="42"/>
      <c r="D71" s="42"/>
      <c r="E71" s="43"/>
      <c r="F71" s="3"/>
      <c r="G71" s="3"/>
    </row>
    <row r="72" spans="1:7" ht="20.100000000000001" customHeight="1" x14ac:dyDescent="0.25">
      <c r="B72" s="48"/>
      <c r="C72" s="48"/>
      <c r="D72" s="48"/>
      <c r="E72" s="48"/>
      <c r="F72" s="3"/>
      <c r="G72" s="3"/>
    </row>
    <row r="73" spans="1:7" x14ac:dyDescent="0.25">
      <c r="A73" s="53"/>
      <c r="B73" s="68">
        <f>$B$45</f>
        <v>44475</v>
      </c>
      <c r="C73" s="69">
        <f>$C$45</f>
        <v>44476</v>
      </c>
      <c r="D73" s="69">
        <f>$D$45</f>
        <v>44477</v>
      </c>
      <c r="E73" s="299">
        <f>$E$45</f>
        <v>44478</v>
      </c>
      <c r="F73" s="287">
        <f>$F$45</f>
        <v>44479</v>
      </c>
      <c r="G73" s="94"/>
    </row>
    <row r="74" spans="1:7" x14ac:dyDescent="0.25">
      <c r="A74" s="13" t="str">
        <f>A67</f>
        <v xml:space="preserve">Package Items </v>
      </c>
      <c r="B74" s="288">
        <f>SUM($B$46:$F$46)</f>
        <v>107.2</v>
      </c>
      <c r="C74" s="289"/>
      <c r="D74" s="290"/>
      <c r="E74" s="290"/>
      <c r="F74" s="291"/>
      <c r="G74" s="3"/>
    </row>
    <row r="75" spans="1:7" x14ac:dyDescent="0.25">
      <c r="A75" s="13" t="str">
        <f>A68</f>
        <v xml:space="preserve">Gratuity </v>
      </c>
      <c r="B75" s="292">
        <f>SUM($B$47:$F$47)</f>
        <v>21.44</v>
      </c>
      <c r="C75" s="293"/>
      <c r="D75" s="294"/>
      <c r="E75" s="294"/>
      <c r="F75" s="295"/>
      <c r="G75" s="3"/>
    </row>
    <row r="76" spans="1:7" x14ac:dyDescent="0.25">
      <c r="A76" s="6" t="str">
        <f>A69</f>
        <v xml:space="preserve">Subtotal </v>
      </c>
      <c r="B76" s="296">
        <f>SUM($B$48:$F$48)</f>
        <v>128.63999999999999</v>
      </c>
      <c r="C76" s="297"/>
      <c r="D76" s="294"/>
      <c r="E76" s="294"/>
      <c r="F76" s="295"/>
      <c r="G76" s="3"/>
    </row>
    <row r="77" spans="1:7" ht="13.8" thickBot="1" x14ac:dyDescent="0.3">
      <c r="A77" s="13" t="str">
        <f>A70</f>
        <v xml:space="preserve">Sales Tax </v>
      </c>
      <c r="B77" s="292">
        <f>SUM($B$49:$F$49)</f>
        <v>8.8332800000000002</v>
      </c>
      <c r="C77" s="293"/>
      <c r="D77" s="294"/>
      <c r="E77" s="294"/>
      <c r="F77" s="295"/>
      <c r="G77" s="3"/>
    </row>
    <row r="78" spans="1:7" ht="13.8" thickTop="1" x14ac:dyDescent="0.25">
      <c r="A78" s="6" t="str">
        <f>A71</f>
        <v xml:space="preserve">Total </v>
      </c>
      <c r="B78" s="103">
        <f>SUM($B$50:$F$50)</f>
        <v>137.47327999999999</v>
      </c>
      <c r="C78" s="298"/>
      <c r="D78" s="298"/>
      <c r="E78" s="298"/>
      <c r="F78" s="73"/>
      <c r="G78" s="3"/>
    </row>
    <row r="79" spans="1:7" ht="20.100000000000001" customHeight="1" x14ac:dyDescent="0.25">
      <c r="B79" s="48"/>
      <c r="C79" s="48"/>
      <c r="D79" s="48"/>
      <c r="E79" s="48"/>
      <c r="F79" s="3"/>
      <c r="G79" s="3"/>
    </row>
    <row r="80" spans="1:7" x14ac:dyDescent="0.25">
      <c r="A80" s="53"/>
      <c r="B80" s="271">
        <f>$B$45</f>
        <v>44475</v>
      </c>
      <c r="C80" s="272">
        <f>$C$45</f>
        <v>44476</v>
      </c>
      <c r="D80" s="272">
        <f>$D$45</f>
        <v>44477</v>
      </c>
      <c r="E80" s="300">
        <f>$E$45</f>
        <v>44478</v>
      </c>
      <c r="F80" s="300">
        <f>$F$45</f>
        <v>44479</v>
      </c>
      <c r="G80" s="273">
        <f>$G$45</f>
        <v>44480</v>
      </c>
    </row>
    <row r="81" spans="1:7" x14ac:dyDescent="0.25">
      <c r="A81" s="13" t="str">
        <f>A74</f>
        <v xml:space="preserve">Package Items </v>
      </c>
      <c r="B81" s="274">
        <f>SUM($B$46:$G$46)</f>
        <v>107.2</v>
      </c>
      <c r="C81" s="275"/>
      <c r="D81" s="276"/>
      <c r="E81" s="276"/>
      <c r="F81" s="276"/>
      <c r="G81" s="277"/>
    </row>
    <row r="82" spans="1:7" x14ac:dyDescent="0.25">
      <c r="A82" s="13" t="str">
        <f>A75</f>
        <v xml:space="preserve">Gratuity </v>
      </c>
      <c r="B82" s="278">
        <f>SUM($B$47:$G$47)</f>
        <v>21.44</v>
      </c>
      <c r="C82" s="279"/>
      <c r="D82" s="280"/>
      <c r="E82" s="280"/>
      <c r="F82" s="280"/>
      <c r="G82" s="281"/>
    </row>
    <row r="83" spans="1:7" x14ac:dyDescent="0.25">
      <c r="A83" s="6" t="str">
        <f>A76</f>
        <v xml:space="preserve">Subtotal </v>
      </c>
      <c r="B83" s="282">
        <f>SUM($B$48:$G$48)</f>
        <v>128.63999999999999</v>
      </c>
      <c r="C83" s="283"/>
      <c r="D83" s="280"/>
      <c r="E83" s="280"/>
      <c r="F83" s="280"/>
      <c r="G83" s="281"/>
    </row>
    <row r="84" spans="1:7" ht="13.8" thickBot="1" x14ac:dyDescent="0.3">
      <c r="A84" s="13" t="str">
        <f>A77</f>
        <v xml:space="preserve">Sales Tax </v>
      </c>
      <c r="B84" s="278">
        <f>SUM($B$49:$G$49)</f>
        <v>8.8332800000000002</v>
      </c>
      <c r="C84" s="279"/>
      <c r="D84" s="280"/>
      <c r="E84" s="280"/>
      <c r="F84" s="280"/>
      <c r="G84" s="281"/>
    </row>
    <row r="85" spans="1:7" ht="13.8" thickTop="1" x14ac:dyDescent="0.25">
      <c r="A85" s="6" t="str">
        <f>A78</f>
        <v xml:space="preserve">Total </v>
      </c>
      <c r="B85" s="284">
        <f>SUM($B$50:$G$50)</f>
        <v>137.47327999999999</v>
      </c>
      <c r="C85" s="285"/>
      <c r="D85" s="285"/>
      <c r="E85" s="285"/>
      <c r="F85" s="285"/>
      <c r="G85" s="286"/>
    </row>
  </sheetData>
  <sheetProtection selectLockedCells="1"/>
  <phoneticPr fontId="0" type="noConversion"/>
  <pageMargins left="0.31" right="0.18" top="0.82" bottom="0.22" header="0.41" footer="0.18"/>
  <pageSetup scale="64" orientation="landscape" r:id="rId1"/>
  <headerFooter alignWithMargins="0">
    <oddHeader>&amp;COVERNIGHT PACKAGE BREAKDOWN WITHOUT ROOM RATE</oddHeader>
    <oddFooter>&amp;R&amp;D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>
    <tabColor indexed="14"/>
    <pageSetUpPr fitToPage="1"/>
  </sheetPr>
  <dimension ref="A1:BB147"/>
  <sheetViews>
    <sheetView topLeftCell="A73" workbookViewId="0">
      <selection activeCell="G65" sqref="G65"/>
    </sheetView>
  </sheetViews>
  <sheetFormatPr defaultColWidth="9.109375" defaultRowHeight="13.2" x14ac:dyDescent="0.25"/>
  <cols>
    <col min="1" max="1" width="35.6640625" style="147" customWidth="1"/>
    <col min="2" max="2" width="12.6640625" style="147" customWidth="1"/>
    <col min="3" max="7" width="10.6640625" style="147" customWidth="1"/>
    <col min="8" max="8" width="9.6640625" style="147" customWidth="1"/>
    <col min="9" max="9" width="12.6640625" style="147" customWidth="1"/>
    <col min="10" max="12" width="10.6640625" style="147" customWidth="1"/>
    <col min="13" max="13" width="9.6640625" style="147" customWidth="1"/>
    <col min="14" max="14" width="12.6640625" style="147" customWidth="1"/>
    <col min="15" max="17" width="10.6640625" style="147" customWidth="1"/>
    <col min="18" max="18" width="9.6640625" style="147" customWidth="1"/>
    <col min="19" max="19" width="12.6640625" style="147" customWidth="1"/>
    <col min="20" max="22" width="10.6640625" style="147" customWidth="1"/>
    <col min="23" max="23" width="9.109375" style="147"/>
    <col min="24" max="24" width="12.6640625" style="147" customWidth="1"/>
    <col min="25" max="27" width="10.6640625" style="147" customWidth="1"/>
    <col min="28" max="28" width="9.6640625" style="147" customWidth="1"/>
    <col min="29" max="29" width="12.6640625" style="147" customWidth="1"/>
    <col min="30" max="32" width="10.6640625" style="147" customWidth="1"/>
    <col min="33" max="16384" width="9.109375" style="147"/>
  </cols>
  <sheetData>
    <row r="1" spans="1:26" ht="45.75" customHeight="1" x14ac:dyDescent="0.25">
      <c r="A1" s="301" t="s">
        <v>79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X1" s="301"/>
    </row>
    <row r="2" spans="1:26" ht="20.100000000000001" customHeight="1" x14ac:dyDescent="0.25">
      <c r="A2" s="510" t="s">
        <v>36</v>
      </c>
      <c r="B2" s="510"/>
      <c r="C2" s="510"/>
      <c r="D2" s="510"/>
      <c r="E2" s="510"/>
      <c r="F2" s="267"/>
      <c r="G2" s="267"/>
    </row>
    <row r="3" spans="1:26" ht="12" customHeight="1" x14ac:dyDescent="0.25">
      <c r="A3" s="511" t="str">
        <f>'INPUT '!A2</f>
        <v>NYS Association of Self Insured Counties</v>
      </c>
      <c r="B3" s="513">
        <f>'INPUT '!B2</f>
        <v>44475</v>
      </c>
      <c r="C3" s="483">
        <f>B3+1</f>
        <v>44476</v>
      </c>
      <c r="D3" s="483">
        <f>C3+1</f>
        <v>44477</v>
      </c>
      <c r="E3" s="483">
        <f>D3+1</f>
        <v>44478</v>
      </c>
      <c r="F3" s="483">
        <f>E3+1</f>
        <v>44479</v>
      </c>
      <c r="G3" s="483">
        <f>F3+1</f>
        <v>44480</v>
      </c>
      <c r="H3" s="148"/>
      <c r="I3" s="149"/>
      <c r="L3" s="150" t="s">
        <v>16</v>
      </c>
    </row>
    <row r="4" spans="1:26" ht="12" customHeight="1" x14ac:dyDescent="0.25">
      <c r="A4" s="512"/>
      <c r="B4" s="514"/>
      <c r="C4" s="483"/>
      <c r="D4" s="483"/>
      <c r="E4" s="483"/>
      <c r="F4" s="483"/>
      <c r="G4" s="483"/>
      <c r="H4" s="149"/>
      <c r="K4" s="151" t="s">
        <v>20</v>
      </c>
      <c r="L4" s="152" t="str">
        <f>'INPUT '!K4</f>
        <v>N</v>
      </c>
      <c r="M4" s="147" t="s">
        <v>21</v>
      </c>
      <c r="O4" s="149"/>
      <c r="Y4" s="149"/>
    </row>
    <row r="5" spans="1:26" x14ac:dyDescent="0.25">
      <c r="A5" s="153" t="str">
        <f>'OVERNIGHT PCKGS-ADD TO RM RATE'!A2</f>
        <v xml:space="preserve">Breakfast </v>
      </c>
      <c r="B5" s="154">
        <f>'OVERNIGHT PCKGS-ADD TO RM RATE'!B2</f>
        <v>0</v>
      </c>
      <c r="C5" s="155"/>
      <c r="D5" s="155"/>
      <c r="E5" s="155"/>
      <c r="F5" s="155"/>
      <c r="G5" s="155"/>
      <c r="H5" s="156"/>
      <c r="K5" s="157" t="s">
        <v>11</v>
      </c>
      <c r="L5" s="158">
        <f>IF($L$4="y",0%,8%)</f>
        <v>0.08</v>
      </c>
      <c r="P5" s="149"/>
      <c r="Z5" s="149"/>
    </row>
    <row r="6" spans="1:26" x14ac:dyDescent="0.25">
      <c r="A6" s="153" t="str">
        <f>'OVERNIGHT PCKGS-ADD TO RM RATE'!A3</f>
        <v xml:space="preserve">AM Break </v>
      </c>
      <c r="B6" s="154">
        <f>'OVERNIGHT PCKGS-ADD TO RM RATE'!B3</f>
        <v>0</v>
      </c>
      <c r="C6" s="155"/>
      <c r="D6" s="155"/>
      <c r="E6" s="155"/>
      <c r="F6" s="155"/>
      <c r="G6" s="155"/>
      <c r="H6" s="156"/>
      <c r="I6" s="149"/>
      <c r="K6" s="157" t="s">
        <v>12</v>
      </c>
      <c r="L6" s="158">
        <f>IF($L$4="y",0%,4%)</f>
        <v>0.04</v>
      </c>
      <c r="M6" s="159"/>
    </row>
    <row r="7" spans="1:26" x14ac:dyDescent="0.25">
      <c r="A7" s="153" t="str">
        <f>'OVERNIGHT PCKGS-ADD TO RM RATE'!A4</f>
        <v xml:space="preserve">AM Break Refresh </v>
      </c>
      <c r="B7" s="154">
        <f>'OVERNIGHT PCKGS-ADD TO RM RATE'!B4</f>
        <v>0</v>
      </c>
      <c r="C7" s="160"/>
      <c r="D7" s="161"/>
      <c r="E7" s="161"/>
      <c r="F7" s="161"/>
      <c r="G7" s="161"/>
      <c r="H7" s="156"/>
      <c r="I7" s="149"/>
      <c r="K7" s="149"/>
      <c r="L7" s="157"/>
      <c r="M7" s="162"/>
    </row>
    <row r="8" spans="1:26" x14ac:dyDescent="0.25">
      <c r="A8" s="153" t="str">
        <f>'OVERNIGHT PCKGS-ADD TO RM RATE'!A5</f>
        <v xml:space="preserve">Lunch </v>
      </c>
      <c r="B8" s="154">
        <f>'OVERNIGHT PCKGS-ADD TO RM RATE'!B5</f>
        <v>0</v>
      </c>
      <c r="C8" s="163">
        <f>'OVERNIGHT PCKGS-ADD TO RM RATE'!C5</f>
        <v>0</v>
      </c>
      <c r="D8" s="163">
        <f>'OVERNIGHT PCKGS-ADD TO RM RATE'!D5</f>
        <v>0</v>
      </c>
      <c r="E8" s="163">
        <f>'OVERNIGHT PCKGS-ADD TO RM RATE'!E5</f>
        <v>0</v>
      </c>
      <c r="F8" s="163">
        <f>'OVERNIGHT PCKGS-ADD TO RM RATE'!F5</f>
        <v>0</v>
      </c>
      <c r="G8" s="163">
        <f>'OVERNIGHT PCKGS-ADD TO RM RATE'!G5</f>
        <v>0</v>
      </c>
      <c r="H8" s="156"/>
      <c r="I8" s="149"/>
      <c r="L8" s="150" t="s">
        <v>18</v>
      </c>
    </row>
    <row r="9" spans="1:26" x14ac:dyDescent="0.25">
      <c r="A9" s="153" t="str">
        <f>'OVERNIGHT PCKGS-ADD TO RM RATE'!A6</f>
        <v xml:space="preserve">PM Break </v>
      </c>
      <c r="B9" s="154">
        <f>'OVERNIGHT PCKGS-ADD TO RM RATE'!B6</f>
        <v>0</v>
      </c>
      <c r="C9" s="154">
        <f>'OVERNIGHT PCKGS-ADD TO RM RATE'!C6</f>
        <v>0</v>
      </c>
      <c r="D9" s="154">
        <f>'OVERNIGHT PCKGS-ADD TO RM RATE'!D6</f>
        <v>0</v>
      </c>
      <c r="E9" s="154">
        <f>'OVERNIGHT PCKGS-ADD TO RM RATE'!E6</f>
        <v>0</v>
      </c>
      <c r="F9" s="154">
        <f>'OVERNIGHT PCKGS-ADD TO RM RATE'!F6</f>
        <v>0</v>
      </c>
      <c r="G9" s="154">
        <f>'OVERNIGHT PCKGS-ADD TO RM RATE'!G6</f>
        <v>0</v>
      </c>
      <c r="H9" s="156"/>
      <c r="I9" s="149"/>
      <c r="K9" s="164" t="s">
        <v>5</v>
      </c>
      <c r="L9" s="165">
        <f>'INPUT '!K9</f>
        <v>155</v>
      </c>
    </row>
    <row r="10" spans="1:26" x14ac:dyDescent="0.25">
      <c r="A10" s="153" t="str">
        <f>'OVERNIGHT PCKGS-ADD TO RM RATE'!A7</f>
        <v xml:space="preserve">PM Break Refresh </v>
      </c>
      <c r="B10" s="154">
        <f>'OVERNIGHT PCKGS-ADD TO RM RATE'!B7</f>
        <v>0</v>
      </c>
      <c r="C10" s="154">
        <f>'OVERNIGHT PCKGS-ADD TO RM RATE'!C7</f>
        <v>0</v>
      </c>
      <c r="D10" s="154">
        <f>'OVERNIGHT PCKGS-ADD TO RM RATE'!D7</f>
        <v>0</v>
      </c>
      <c r="E10" s="154">
        <f>'OVERNIGHT PCKGS-ADD TO RM RATE'!E7</f>
        <v>0</v>
      </c>
      <c r="F10" s="154">
        <f>'OVERNIGHT PCKGS-ADD TO RM RATE'!F7</f>
        <v>0</v>
      </c>
      <c r="G10" s="154">
        <f>'OVERNIGHT PCKGS-ADD TO RM RATE'!G7</f>
        <v>0</v>
      </c>
      <c r="H10" s="156"/>
      <c r="I10" s="149"/>
      <c r="K10" s="164" t="s">
        <v>6</v>
      </c>
      <c r="L10" s="165">
        <f>'INPUT '!K10</f>
        <v>155</v>
      </c>
    </row>
    <row r="11" spans="1:26" x14ac:dyDescent="0.25">
      <c r="A11" s="153" t="str">
        <f>'OVERNIGHT PCKGS-ADD TO RM RATE'!A8</f>
        <v xml:space="preserve">Reception Food </v>
      </c>
      <c r="B11" s="154">
        <f>'OVERNIGHT PCKGS-ADD TO RM RATE'!B8</f>
        <v>0</v>
      </c>
      <c r="C11" s="154">
        <f>'OVERNIGHT PCKGS-ADD TO RM RATE'!C8</f>
        <v>0</v>
      </c>
      <c r="D11" s="154">
        <f>'OVERNIGHT PCKGS-ADD TO RM RATE'!D8</f>
        <v>0</v>
      </c>
      <c r="E11" s="154">
        <f>'OVERNIGHT PCKGS-ADD TO RM RATE'!E8</f>
        <v>0</v>
      </c>
      <c r="F11" s="154">
        <f>'OVERNIGHT PCKGS-ADD TO RM RATE'!F8</f>
        <v>0</v>
      </c>
      <c r="G11" s="154">
        <f>'OVERNIGHT PCKGS-ADD TO RM RATE'!G8</f>
        <v>0</v>
      </c>
      <c r="H11" s="156"/>
      <c r="I11" s="149"/>
      <c r="K11" s="164" t="s">
        <v>7</v>
      </c>
      <c r="L11" s="165">
        <f>'INPUT '!K11</f>
        <v>165</v>
      </c>
    </row>
    <row r="12" spans="1:26" x14ac:dyDescent="0.25">
      <c r="A12" s="153" t="str">
        <f>'OVERNIGHT PCKGS-ADD TO RM RATE'!A9</f>
        <v xml:space="preserve">Reception Beverage </v>
      </c>
      <c r="B12" s="154">
        <f>'OVERNIGHT PCKGS-ADD TO RM RATE'!B9</f>
        <v>0</v>
      </c>
      <c r="C12" s="154">
        <f>'OVERNIGHT PCKGS-ADD TO RM RATE'!C9</f>
        <v>0</v>
      </c>
      <c r="D12" s="154">
        <f>'OVERNIGHT PCKGS-ADD TO RM RATE'!D9</f>
        <v>0</v>
      </c>
      <c r="E12" s="154">
        <f>'OVERNIGHT PCKGS-ADD TO RM RATE'!E9</f>
        <v>0</v>
      </c>
      <c r="F12" s="154">
        <f>'OVERNIGHT PCKGS-ADD TO RM RATE'!F9</f>
        <v>0</v>
      </c>
      <c r="G12" s="154">
        <f>'OVERNIGHT PCKGS-ADD TO RM RATE'!G9</f>
        <v>0</v>
      </c>
      <c r="H12" s="156"/>
      <c r="I12" s="149"/>
      <c r="K12" s="164" t="s">
        <v>8</v>
      </c>
      <c r="L12" s="166">
        <f>'INPUT '!K12</f>
        <v>175</v>
      </c>
    </row>
    <row r="13" spans="1:26" x14ac:dyDescent="0.25">
      <c r="A13" s="153" t="str">
        <f>'OVERNIGHT PCKGS-ADD TO RM RATE'!A10</f>
        <v xml:space="preserve">Dinner  </v>
      </c>
      <c r="B13" s="154">
        <f>'OVERNIGHT PCKGS-ADD TO RM RATE'!B10</f>
        <v>39.450000000000003</v>
      </c>
      <c r="C13" s="154">
        <f>'OVERNIGHT PCKGS-ADD TO RM RATE'!C10</f>
        <v>37.75</v>
      </c>
      <c r="D13" s="154">
        <f>'OVERNIGHT PCKGS-ADD TO RM RATE'!D10</f>
        <v>0</v>
      </c>
      <c r="E13" s="154">
        <f>'OVERNIGHT PCKGS-ADD TO RM RATE'!E10</f>
        <v>0</v>
      </c>
      <c r="F13" s="154">
        <f>'OVERNIGHT PCKGS-ADD TO RM RATE'!F10</f>
        <v>0</v>
      </c>
      <c r="G13" s="154">
        <f>'OVERNIGHT PCKGS-ADD TO RM RATE'!G10</f>
        <v>0</v>
      </c>
      <c r="H13" s="156"/>
      <c r="I13" s="149"/>
      <c r="K13" s="149"/>
      <c r="M13" s="149"/>
      <c r="N13" s="149"/>
      <c r="X13" s="149"/>
    </row>
    <row r="14" spans="1:26" x14ac:dyDescent="0.25">
      <c r="A14" s="153" t="str">
        <f>'OVERNIGHT PCKGS-ADD TO RM RATE'!A11</f>
        <v xml:space="preserve">Beverage  </v>
      </c>
      <c r="B14" s="154">
        <f>'OVERNIGHT PCKGS-ADD TO RM RATE'!B11</f>
        <v>0</v>
      </c>
      <c r="C14" s="154">
        <f>'OVERNIGHT PCKGS-ADD TO RM RATE'!C11</f>
        <v>0</v>
      </c>
      <c r="D14" s="154">
        <f>'OVERNIGHT PCKGS-ADD TO RM RATE'!D11</f>
        <v>0</v>
      </c>
      <c r="E14" s="154">
        <f>'OVERNIGHT PCKGS-ADD TO RM RATE'!E11</f>
        <v>0</v>
      </c>
      <c r="F14" s="154">
        <f>'OVERNIGHT PCKGS-ADD TO RM RATE'!F11</f>
        <v>0</v>
      </c>
      <c r="G14" s="154">
        <f>'OVERNIGHT PCKGS-ADD TO RM RATE'!G11</f>
        <v>0</v>
      </c>
      <c r="H14" s="156"/>
      <c r="I14" s="149"/>
      <c r="L14" s="150" t="s">
        <v>17</v>
      </c>
    </row>
    <row r="15" spans="1:26" x14ac:dyDescent="0.25">
      <c r="A15" s="153" t="str">
        <f>'OVERNIGHT PCKGS-ADD TO RM RATE'!A12</f>
        <v xml:space="preserve">Breakfast - Tomorrow </v>
      </c>
      <c r="B15" s="154">
        <f>'OVERNIGHT PCKGS-ADD TO RM RATE'!B12</f>
        <v>15</v>
      </c>
      <c r="C15" s="154">
        <f>'OVERNIGHT PCKGS-ADD TO RM RATE'!C12</f>
        <v>15</v>
      </c>
      <c r="D15" s="154">
        <f>'OVERNIGHT PCKGS-ADD TO RM RATE'!D12</f>
        <v>0</v>
      </c>
      <c r="E15" s="154">
        <f>'OVERNIGHT PCKGS-ADD TO RM RATE'!E12</f>
        <v>0</v>
      </c>
      <c r="F15" s="154">
        <f>'OVERNIGHT PCKGS-ADD TO RM RATE'!F12</f>
        <v>0</v>
      </c>
      <c r="G15" s="154">
        <f>'OVERNIGHT PCKGS-ADD TO RM RATE'!G12</f>
        <v>0</v>
      </c>
      <c r="H15" s="156"/>
      <c r="I15" s="149"/>
      <c r="K15" s="167" t="s">
        <v>13</v>
      </c>
      <c r="L15" s="165">
        <f>'INPUT '!K15</f>
        <v>0</v>
      </c>
    </row>
    <row r="16" spans="1:26" s="149" customFormat="1" x14ac:dyDescent="0.25">
      <c r="A16" s="153" t="str">
        <f>'OVERNIGHT PCKGS-ADD TO RM RATE'!A13</f>
        <v xml:space="preserve">AM Break - Tomorrow </v>
      </c>
      <c r="B16" s="154">
        <f>'OVERNIGHT PCKGS-ADD TO RM RATE'!B13</f>
        <v>0</v>
      </c>
      <c r="C16" s="154">
        <f>'OVERNIGHT PCKGS-ADD TO RM RATE'!C13</f>
        <v>0</v>
      </c>
      <c r="D16" s="154">
        <f>'OVERNIGHT PCKGS-ADD TO RM RATE'!D13</f>
        <v>0</v>
      </c>
      <c r="E16" s="154">
        <f>'OVERNIGHT PCKGS-ADD TO RM RATE'!E13</f>
        <v>0</v>
      </c>
      <c r="F16" s="154">
        <f>'OVERNIGHT PCKGS-ADD TO RM RATE'!F13</f>
        <v>0</v>
      </c>
      <c r="G16" s="154">
        <f>'OVERNIGHT PCKGS-ADD TO RM RATE'!G13</f>
        <v>0</v>
      </c>
      <c r="H16" s="156"/>
      <c r="K16" s="167" t="s">
        <v>9</v>
      </c>
      <c r="L16" s="165">
        <f>'INPUT '!K16</f>
        <v>5</v>
      </c>
    </row>
    <row r="17" spans="1:12" x14ac:dyDescent="0.25">
      <c r="A17" s="153" t="str">
        <f>'OVERNIGHT PCKGS-ADD TO RM RATE'!A14</f>
        <v xml:space="preserve">AM Break Refresh - Tomorrow </v>
      </c>
      <c r="B17" s="154">
        <f>'OVERNIGHT PCKGS-ADD TO RM RATE'!B14</f>
        <v>0</v>
      </c>
      <c r="C17" s="154">
        <f>'OVERNIGHT PCKGS-ADD TO RM RATE'!C14</f>
        <v>0</v>
      </c>
      <c r="D17" s="154">
        <f>'OVERNIGHT PCKGS-ADD TO RM RATE'!D14</f>
        <v>0</v>
      </c>
      <c r="E17" s="154">
        <f>'OVERNIGHT PCKGS-ADD TO RM RATE'!E14</f>
        <v>0</v>
      </c>
      <c r="F17" s="154">
        <f>'OVERNIGHT PCKGS-ADD TO RM RATE'!F14</f>
        <v>0</v>
      </c>
      <c r="G17" s="154">
        <f>'OVERNIGHT PCKGS-ADD TO RM RATE'!G14</f>
        <v>0</v>
      </c>
      <c r="H17" s="156"/>
      <c r="I17" s="149"/>
      <c r="K17" s="167" t="s">
        <v>14</v>
      </c>
      <c r="L17" s="165">
        <f>'INPUT '!K17</f>
        <v>0</v>
      </c>
    </row>
    <row r="18" spans="1:12" x14ac:dyDescent="0.25">
      <c r="A18" s="153" t="str">
        <f>'OVERNIGHT PCKGS-ADD TO RM RATE'!A15</f>
        <v xml:space="preserve">Lunch - Tomorrow </v>
      </c>
      <c r="B18" s="154">
        <f>'OVERNIGHT PCKGS-ADD TO RM RATE'!B15</f>
        <v>0</v>
      </c>
      <c r="C18" s="154">
        <f>'OVERNIGHT PCKGS-ADD TO RM RATE'!C15</f>
        <v>0</v>
      </c>
      <c r="D18" s="154">
        <f>'OVERNIGHT PCKGS-ADD TO RM RATE'!D15</f>
        <v>0</v>
      </c>
      <c r="E18" s="154">
        <f>'OVERNIGHT PCKGS-ADD TO RM RATE'!E15</f>
        <v>0</v>
      </c>
      <c r="F18" s="154">
        <f>'OVERNIGHT PCKGS-ADD TO RM RATE'!F15</f>
        <v>0</v>
      </c>
      <c r="G18" s="154">
        <f>'OVERNIGHT PCKGS-ADD TO RM RATE'!G15</f>
        <v>0</v>
      </c>
      <c r="H18" s="156"/>
      <c r="I18" s="149"/>
      <c r="K18" s="167" t="s">
        <v>10</v>
      </c>
      <c r="L18" s="166">
        <f>'INPUT '!K18</f>
        <v>0</v>
      </c>
    </row>
    <row r="19" spans="1:12" s="149" customFormat="1" x14ac:dyDescent="0.25">
      <c r="A19" s="153" t="str">
        <f>'OVERNIGHT PCKGS-ADD TO RM RATE'!A16</f>
        <v xml:space="preserve">PM Break - Tomorrow </v>
      </c>
      <c r="B19" s="154">
        <f>'OVERNIGHT PCKGS-ADD TO RM RATE'!B16</f>
        <v>0</v>
      </c>
      <c r="C19" s="154">
        <f>'OVERNIGHT PCKGS-ADD TO RM RATE'!C16</f>
        <v>0</v>
      </c>
      <c r="D19" s="154">
        <f>'OVERNIGHT PCKGS-ADD TO RM RATE'!D16</f>
        <v>0</v>
      </c>
      <c r="E19" s="154">
        <f>'OVERNIGHT PCKGS-ADD TO RM RATE'!E16</f>
        <v>0</v>
      </c>
      <c r="F19" s="154">
        <f>'OVERNIGHT PCKGS-ADD TO RM RATE'!F16</f>
        <v>0</v>
      </c>
      <c r="G19" s="154">
        <f>'OVERNIGHT PCKGS-ADD TO RM RATE'!G16</f>
        <v>0</v>
      </c>
      <c r="H19" s="156"/>
      <c r="K19" s="157"/>
      <c r="L19" s="305"/>
    </row>
    <row r="20" spans="1:12" x14ac:dyDescent="0.25">
      <c r="A20" s="153" t="str">
        <f>'OVERNIGHT PCKGS-ADD TO RM RATE'!A17</f>
        <v xml:space="preserve">Other Food 1 </v>
      </c>
      <c r="B20" s="154">
        <f>'OVERNIGHT PCKGS-ADD TO RM RATE'!B17</f>
        <v>0</v>
      </c>
      <c r="C20" s="154">
        <f>'OVERNIGHT PCKGS-ADD TO RM RATE'!C17</f>
        <v>0</v>
      </c>
      <c r="D20" s="154">
        <f>'OVERNIGHT PCKGS-ADD TO RM RATE'!D17</f>
        <v>0</v>
      </c>
      <c r="E20" s="154">
        <f>'OVERNIGHT PCKGS-ADD TO RM RATE'!E17</f>
        <v>0</v>
      </c>
      <c r="F20" s="154">
        <f>'OVERNIGHT PCKGS-ADD TO RM RATE'!F17</f>
        <v>0</v>
      </c>
      <c r="G20" s="154">
        <f>'OVERNIGHT PCKGS-ADD TO RM RATE'!G17</f>
        <v>0</v>
      </c>
      <c r="H20" s="156"/>
    </row>
    <row r="21" spans="1:12" x14ac:dyDescent="0.25">
      <c r="A21" s="153" t="str">
        <f>'OVERNIGHT PCKGS-ADD TO RM RATE'!A18</f>
        <v xml:space="preserve">Other Food 2 </v>
      </c>
      <c r="B21" s="154">
        <f>'OVERNIGHT PCKGS-ADD TO RM RATE'!B18</f>
        <v>0</v>
      </c>
      <c r="C21" s="154">
        <f>'OVERNIGHT PCKGS-ADD TO RM RATE'!C18</f>
        <v>0</v>
      </c>
      <c r="D21" s="154">
        <f>'OVERNIGHT PCKGS-ADD TO RM RATE'!D18</f>
        <v>0</v>
      </c>
      <c r="E21" s="154">
        <f>'OVERNIGHT PCKGS-ADD TO RM RATE'!E18</f>
        <v>0</v>
      </c>
      <c r="F21" s="154">
        <f>'OVERNIGHT PCKGS-ADD TO RM RATE'!F18</f>
        <v>0</v>
      </c>
      <c r="G21" s="154">
        <f>'OVERNIGHT PCKGS-ADD TO RM RATE'!G18</f>
        <v>0</v>
      </c>
      <c r="H21" s="156"/>
      <c r="I21" s="149"/>
      <c r="K21" s="149"/>
    </row>
    <row r="22" spans="1:12" x14ac:dyDescent="0.25">
      <c r="A22" s="153" t="str">
        <f>'OVERNIGHT PCKGS-ADD TO RM RATE'!A19</f>
        <v xml:space="preserve">Off-Site Food </v>
      </c>
      <c r="B22" s="154">
        <f>'OVERNIGHT PCKGS-ADD TO RM RATE'!B19</f>
        <v>0</v>
      </c>
      <c r="C22" s="154">
        <f>'OVERNIGHT PCKGS-ADD TO RM RATE'!C19</f>
        <v>0</v>
      </c>
      <c r="D22" s="154">
        <f>'OVERNIGHT PCKGS-ADD TO RM RATE'!D19</f>
        <v>0</v>
      </c>
      <c r="E22" s="154">
        <f>'OVERNIGHT PCKGS-ADD TO RM RATE'!E19</f>
        <v>0</v>
      </c>
      <c r="F22" s="154">
        <f>'OVERNIGHT PCKGS-ADD TO RM RATE'!F19</f>
        <v>0</v>
      </c>
      <c r="G22" s="154">
        <f>'OVERNIGHT PCKGS-ADD TO RM RATE'!G19</f>
        <v>0</v>
      </c>
      <c r="H22" s="156"/>
      <c r="I22" s="149"/>
      <c r="K22" s="149"/>
    </row>
    <row r="23" spans="1:12" x14ac:dyDescent="0.25">
      <c r="A23" s="153" t="str">
        <f>'OVERNIGHT PCKGS-ADD TO RM RATE'!A20</f>
        <v xml:space="preserve">MISC. 1 (Taxed Only) </v>
      </c>
      <c r="B23" s="154">
        <f>'OVERNIGHT PCKGS-ADD TO RM RATE'!B20</f>
        <v>0</v>
      </c>
      <c r="C23" s="154">
        <f>'OVERNIGHT PCKGS-ADD TO RM RATE'!C20</f>
        <v>0</v>
      </c>
      <c r="D23" s="154">
        <f>'OVERNIGHT PCKGS-ADD TO RM RATE'!D20</f>
        <v>0</v>
      </c>
      <c r="E23" s="154">
        <f>'OVERNIGHT PCKGS-ADD TO RM RATE'!E20</f>
        <v>0</v>
      </c>
      <c r="F23" s="154">
        <f>'OVERNIGHT PCKGS-ADD TO RM RATE'!F20</f>
        <v>0</v>
      </c>
      <c r="G23" s="154">
        <f>'OVERNIGHT PCKGS-ADD TO RM RATE'!G20</f>
        <v>0</v>
      </c>
      <c r="H23" s="156"/>
      <c r="I23" s="149"/>
      <c r="K23" s="149"/>
    </row>
    <row r="24" spans="1:12" x14ac:dyDescent="0.25">
      <c r="A24" s="153" t="str">
        <f>'OVERNIGHT PCKGS-ADD TO RM RATE'!A21</f>
        <v xml:space="preserve">MISC. 2 (Taxed Only) </v>
      </c>
      <c r="B24" s="154">
        <f>'OVERNIGHT PCKGS-ADD TO RM RATE'!B21</f>
        <v>0</v>
      </c>
      <c r="C24" s="154">
        <f>'OVERNIGHT PCKGS-ADD TO RM RATE'!C21</f>
        <v>0</v>
      </c>
      <c r="D24" s="154">
        <f>'OVERNIGHT PCKGS-ADD TO RM RATE'!D21</f>
        <v>0</v>
      </c>
      <c r="E24" s="154">
        <f>'OVERNIGHT PCKGS-ADD TO RM RATE'!E21</f>
        <v>0</v>
      </c>
      <c r="F24" s="154">
        <f>'OVERNIGHT PCKGS-ADD TO RM RATE'!F21</f>
        <v>0</v>
      </c>
      <c r="G24" s="154">
        <f>'OVERNIGHT PCKGS-ADD TO RM RATE'!G21</f>
        <v>0</v>
      </c>
      <c r="H24" s="156"/>
      <c r="I24" s="149"/>
      <c r="K24" s="168"/>
    </row>
    <row r="25" spans="1:12" x14ac:dyDescent="0.25">
      <c r="A25" s="153" t="str">
        <f>'OVERNIGHT PCKGS-ADD TO RM RATE'!A22</f>
        <v xml:space="preserve">Meeting Room Rental </v>
      </c>
      <c r="B25" s="154">
        <f>'OVERNIGHT PCKGS-ADD TO RM RATE'!B22</f>
        <v>0</v>
      </c>
      <c r="C25" s="154">
        <f>'OVERNIGHT PCKGS-ADD TO RM RATE'!C22</f>
        <v>0</v>
      </c>
      <c r="D25" s="154">
        <f>'OVERNIGHT PCKGS-ADD TO RM RATE'!D22</f>
        <v>0</v>
      </c>
      <c r="E25" s="154">
        <f>'OVERNIGHT PCKGS-ADD TO RM RATE'!E22</f>
        <v>0</v>
      </c>
      <c r="F25" s="154">
        <f>'OVERNIGHT PCKGS-ADD TO RM RATE'!F22</f>
        <v>0</v>
      </c>
      <c r="G25" s="154">
        <f>'OVERNIGHT PCKGS-ADD TO RM RATE'!G22</f>
        <v>0</v>
      </c>
      <c r="H25" s="156"/>
      <c r="I25" s="149"/>
    </row>
    <row r="26" spans="1:12" ht="20.100000000000001" customHeight="1" x14ac:dyDescent="0.25">
      <c r="A26" s="169"/>
      <c r="B26" s="170">
        <f t="shared" ref="B26:G26" si="0">B3</f>
        <v>44475</v>
      </c>
      <c r="C26" s="170">
        <f t="shared" si="0"/>
        <v>44476</v>
      </c>
      <c r="D26" s="170">
        <f t="shared" si="0"/>
        <v>44477</v>
      </c>
      <c r="E26" s="170">
        <f t="shared" si="0"/>
        <v>44478</v>
      </c>
      <c r="F26" s="170">
        <f t="shared" si="0"/>
        <v>44479</v>
      </c>
      <c r="G26" s="170">
        <f t="shared" si="0"/>
        <v>44480</v>
      </c>
      <c r="H26" s="171" t="s">
        <v>22</v>
      </c>
      <c r="I26" s="149"/>
      <c r="J26" s="149"/>
    </row>
    <row r="27" spans="1:12" x14ac:dyDescent="0.25">
      <c r="A27" s="172" t="s">
        <v>26</v>
      </c>
      <c r="B27" s="173">
        <f t="shared" ref="B27:G27" si="1">SUM(B5:B25)</f>
        <v>54.45</v>
      </c>
      <c r="C27" s="173">
        <f t="shared" si="1"/>
        <v>52.75</v>
      </c>
      <c r="D27" s="173">
        <f t="shared" si="1"/>
        <v>0</v>
      </c>
      <c r="E27" s="173">
        <f t="shared" si="1"/>
        <v>0</v>
      </c>
      <c r="F27" s="173">
        <f t="shared" si="1"/>
        <v>0</v>
      </c>
      <c r="G27" s="173">
        <f t="shared" si="1"/>
        <v>0</v>
      </c>
      <c r="H27" s="174">
        <f>SUM(B27:G27)</f>
        <v>107.2</v>
      </c>
      <c r="I27" s="175"/>
      <c r="J27" s="175"/>
      <c r="K27" s="176"/>
    </row>
    <row r="28" spans="1:12" s="180" customFormat="1" ht="13.8" thickBot="1" x14ac:dyDescent="0.3">
      <c r="A28" s="177" t="s">
        <v>27</v>
      </c>
      <c r="B28" s="178">
        <f>SUM(B5:B21)*20%+SUM(B22*20%)</f>
        <v>10.89</v>
      </c>
      <c r="C28" s="178">
        <f>SUM(C5:C21)*20%+SUM(C22*20%)</f>
        <v>10.55</v>
      </c>
      <c r="D28" s="178">
        <f>SUM(D5:D21)*20%+SUM(D22*20%)</f>
        <v>0</v>
      </c>
      <c r="E28" s="178">
        <f>SUM(E5:E21)*18%+SUM(E22*20%)</f>
        <v>0</v>
      </c>
      <c r="F28" s="178">
        <f>SUM(F5:F21)*18%+SUM(F22*20%)</f>
        <v>0</v>
      </c>
      <c r="G28" s="178">
        <f>SUM(G5:G21)*18%+SUM(G22*20%)</f>
        <v>0</v>
      </c>
      <c r="H28" s="179">
        <f>SUM(B28:G28)</f>
        <v>21.44</v>
      </c>
      <c r="I28" s="175"/>
      <c r="J28" s="175"/>
      <c r="K28" s="176"/>
    </row>
    <row r="29" spans="1:12" s="180" customFormat="1" ht="13.8" thickTop="1" x14ac:dyDescent="0.25">
      <c r="A29" s="181" t="s">
        <v>23</v>
      </c>
      <c r="B29" s="182">
        <f t="shared" ref="B29:G29" si="2">SUM(B27:B28)</f>
        <v>65.34</v>
      </c>
      <c r="C29" s="182">
        <f t="shared" si="2"/>
        <v>63.3</v>
      </c>
      <c r="D29" s="182">
        <f t="shared" si="2"/>
        <v>0</v>
      </c>
      <c r="E29" s="183">
        <f t="shared" si="2"/>
        <v>0</v>
      </c>
      <c r="F29" s="182">
        <f t="shared" si="2"/>
        <v>0</v>
      </c>
      <c r="G29" s="183">
        <f t="shared" si="2"/>
        <v>0</v>
      </c>
      <c r="H29" s="184">
        <f>SUM(B29:G29)</f>
        <v>128.63999999999999</v>
      </c>
      <c r="I29" s="185"/>
      <c r="J29" s="186"/>
    </row>
    <row r="30" spans="1:12" ht="13.8" thickBot="1" x14ac:dyDescent="0.3">
      <c r="A30" s="177" t="s">
        <v>25</v>
      </c>
      <c r="B30" s="187">
        <f>(SUM(B5:B25)*$L$5)+((SUM(B5:B21)*5%)*$L$5)+(SUM(B22*5%)*$L$5)</f>
        <v>4.5738000000000012</v>
      </c>
      <c r="C30" s="187">
        <f>(SUM(C5:C25)*$L$5)+((SUM(C5:C21)*5%)*$L$5)+(SUM(C22*5%)*$L$5)</f>
        <v>4.431</v>
      </c>
      <c r="D30" s="187">
        <f>(SUM(D5:D25)*$L$5)+((SUM(D5:D21)*5%)*$L$5)+(SUM(D22*5%)*$L$5)</f>
        <v>0</v>
      </c>
      <c r="E30" s="187">
        <f>(SUM(E5:E25)*$L$5)+((SUM(E5:E21)*3%)*$L$5)+(SUM(E22*5%)*$L$5)</f>
        <v>0</v>
      </c>
      <c r="F30" s="187">
        <f>(SUM(F5:F25)*$L$5)+((SUM(F5:F21)*3%)*$L$5)+(SUM(F22*5%)*$L$5)</f>
        <v>0</v>
      </c>
      <c r="G30" s="187">
        <f>(SUM(G5:G25)*$L$5)+((SUM(G5:G21)*3%)*$L$5)+(SUM(G22*5%)*$L$5)</f>
        <v>0</v>
      </c>
      <c r="H30" s="188">
        <f>SUM(B30:G30)</f>
        <v>9.0048000000000012</v>
      </c>
      <c r="I30" s="175"/>
      <c r="J30" s="175"/>
      <c r="K30" s="176"/>
    </row>
    <row r="31" spans="1:12" s="180" customFormat="1" ht="13.8" thickTop="1" x14ac:dyDescent="0.25">
      <c r="A31" s="181" t="s">
        <v>24</v>
      </c>
      <c r="B31" s="182">
        <f t="shared" ref="B31:G31" si="3">SUM(B29:B30)</f>
        <v>69.913800000000009</v>
      </c>
      <c r="C31" s="182">
        <f t="shared" si="3"/>
        <v>67.730999999999995</v>
      </c>
      <c r="D31" s="182">
        <f t="shared" si="3"/>
        <v>0</v>
      </c>
      <c r="E31" s="183">
        <f t="shared" si="3"/>
        <v>0</v>
      </c>
      <c r="F31" s="182">
        <f t="shared" si="3"/>
        <v>0</v>
      </c>
      <c r="G31" s="183">
        <f t="shared" si="3"/>
        <v>0</v>
      </c>
      <c r="H31" s="184">
        <f>SUM(B31:G31)</f>
        <v>137.6448</v>
      </c>
      <c r="I31" s="185"/>
      <c r="J31" s="186"/>
    </row>
    <row r="32" spans="1:12" ht="20.100000000000001" customHeight="1" x14ac:dyDescent="0.25">
      <c r="A32" s="189"/>
      <c r="B32" s="506"/>
      <c r="C32" s="506"/>
      <c r="D32" s="506"/>
      <c r="E32" s="506"/>
      <c r="F32" s="266"/>
      <c r="G32" s="266"/>
      <c r="H32" s="190"/>
    </row>
    <row r="33" spans="1:33" ht="15" customHeight="1" x14ac:dyDescent="0.25">
      <c r="A33" s="247"/>
      <c r="B33" s="485" t="str">
        <f>$A$3</f>
        <v>NYS Association of Self Insured Counties</v>
      </c>
      <c r="C33" s="485"/>
      <c r="D33" s="485"/>
      <c r="E33" s="485"/>
      <c r="F33" s="313"/>
      <c r="G33" s="313"/>
      <c r="H33" s="190"/>
      <c r="I33" s="490" t="str">
        <f>$A$3</f>
        <v>NYS Association of Self Insured Counties</v>
      </c>
      <c r="J33" s="490"/>
      <c r="K33" s="490"/>
      <c r="L33" s="490"/>
      <c r="N33" s="485" t="str">
        <f>$A$3</f>
        <v>NYS Association of Self Insured Counties</v>
      </c>
      <c r="O33" s="485"/>
      <c r="P33" s="485"/>
      <c r="Q33" s="485"/>
      <c r="S33" s="490" t="str">
        <f>$A$3</f>
        <v>NYS Association of Self Insured Counties</v>
      </c>
      <c r="T33" s="490"/>
      <c r="U33" s="490"/>
      <c r="V33" s="490"/>
      <c r="X33" s="485" t="str">
        <f>$A$3</f>
        <v>NYS Association of Self Insured Counties</v>
      </c>
      <c r="Y33" s="485"/>
      <c r="Z33" s="485"/>
      <c r="AA33" s="485"/>
      <c r="AC33" s="490" t="str">
        <f>$A$3</f>
        <v>NYS Association of Self Insured Counties</v>
      </c>
      <c r="AD33" s="490"/>
      <c r="AE33" s="490"/>
      <c r="AF33" s="490"/>
    </row>
    <row r="34" spans="1:33" s="180" customFormat="1" ht="15" customHeight="1" x14ac:dyDescent="0.25">
      <c r="A34" s="169"/>
      <c r="B34" s="257">
        <f>B57</f>
        <v>44475</v>
      </c>
      <c r="C34" s="194" t="s">
        <v>28</v>
      </c>
      <c r="D34" s="194"/>
      <c r="E34" s="194"/>
      <c r="F34" s="192"/>
      <c r="G34" s="192"/>
      <c r="H34" s="192"/>
      <c r="I34" s="248">
        <f>I57</f>
        <v>44476</v>
      </c>
      <c r="J34" s="191" t="s">
        <v>28</v>
      </c>
      <c r="K34" s="249"/>
      <c r="L34" s="249"/>
      <c r="M34" s="186"/>
      <c r="N34" s="193">
        <f>N57</f>
        <v>44477</v>
      </c>
      <c r="O34" s="194" t="s">
        <v>28</v>
      </c>
      <c r="P34" s="195"/>
      <c r="Q34" s="195"/>
      <c r="R34" s="186"/>
      <c r="S34" s="248">
        <f>S57</f>
        <v>44478</v>
      </c>
      <c r="T34" s="191" t="s">
        <v>28</v>
      </c>
      <c r="U34" s="249"/>
      <c r="V34" s="249"/>
      <c r="X34" s="193">
        <f>X57</f>
        <v>44479</v>
      </c>
      <c r="Y34" s="194" t="s">
        <v>28</v>
      </c>
      <c r="Z34" s="195"/>
      <c r="AA34" s="195"/>
      <c r="AB34" s="186"/>
      <c r="AC34" s="248">
        <f>AC57</f>
        <v>44480</v>
      </c>
      <c r="AD34" s="191" t="s">
        <v>28</v>
      </c>
      <c r="AE34" s="249"/>
      <c r="AF34" s="249"/>
    </row>
    <row r="35" spans="1:33" s="180" customFormat="1" ht="15" hidden="1" customHeight="1" x14ac:dyDescent="0.25">
      <c r="A35" s="169"/>
      <c r="B35" s="198"/>
      <c r="C35" s="199" t="str">
        <f t="shared" ref="C35:C54" si="4">IF(B5&gt;0.01,$A5," ")</f>
        <v xml:space="preserve"> </v>
      </c>
      <c r="D35" s="199"/>
      <c r="E35" s="199"/>
      <c r="F35" s="200"/>
      <c r="G35" s="200"/>
      <c r="H35" s="186"/>
      <c r="I35" s="196"/>
      <c r="J35" s="197" t="str">
        <f t="shared" ref="J35:J54" si="5">IF(C5&gt;0.01,$A5," ")</f>
        <v xml:space="preserve"> </v>
      </c>
      <c r="K35" s="197"/>
      <c r="L35" s="197"/>
      <c r="M35" s="186"/>
      <c r="N35" s="198"/>
      <c r="O35" s="262" t="str">
        <f t="shared" ref="O35:O54" si="6">IF(D5&gt;0.01,$A5," ")</f>
        <v xml:space="preserve"> </v>
      </c>
      <c r="P35" s="199"/>
      <c r="Q35" s="199"/>
      <c r="R35" s="186"/>
      <c r="S35" s="196"/>
      <c r="T35" s="197" t="str">
        <f t="shared" ref="T35:T54" si="7">IF(E5&gt;0.01,$A5," ")</f>
        <v xml:space="preserve"> </v>
      </c>
      <c r="U35" s="197"/>
      <c r="V35" s="197"/>
      <c r="W35" s="200"/>
      <c r="X35" s="198"/>
      <c r="Y35" s="262" t="str">
        <f t="shared" ref="Y35:Y54" si="8">IF(P5&gt;0.01,$A5," ")</f>
        <v xml:space="preserve"> </v>
      </c>
      <c r="Z35" s="199"/>
      <c r="AA35" s="199"/>
      <c r="AB35" s="186"/>
      <c r="AC35" s="196"/>
      <c r="AD35" s="197" t="str">
        <f t="shared" ref="AD35:AD54" si="9">IF(Q5&gt;0.01,$A5," ")</f>
        <v xml:space="preserve"> </v>
      </c>
      <c r="AE35" s="197"/>
      <c r="AF35" s="197"/>
      <c r="AG35" s="200"/>
    </row>
    <row r="36" spans="1:33" s="180" customFormat="1" ht="15" hidden="1" customHeight="1" x14ac:dyDescent="0.25">
      <c r="A36" s="169"/>
      <c r="B36" s="198"/>
      <c r="C36" s="199" t="str">
        <f t="shared" si="4"/>
        <v xml:space="preserve"> </v>
      </c>
      <c r="D36" s="199"/>
      <c r="E36" s="199"/>
      <c r="F36" s="200"/>
      <c r="G36" s="200"/>
      <c r="H36" s="186"/>
      <c r="I36" s="196"/>
      <c r="J36" s="197" t="str">
        <f t="shared" si="5"/>
        <v xml:space="preserve"> </v>
      </c>
      <c r="K36" s="197"/>
      <c r="L36" s="197"/>
      <c r="M36" s="186"/>
      <c r="N36" s="198"/>
      <c r="O36" s="262" t="str">
        <f t="shared" si="6"/>
        <v xml:space="preserve"> </v>
      </c>
      <c r="P36" s="199"/>
      <c r="Q36" s="199"/>
      <c r="R36" s="186"/>
      <c r="S36" s="196"/>
      <c r="T36" s="197" t="str">
        <f t="shared" si="7"/>
        <v xml:space="preserve"> </v>
      </c>
      <c r="U36" s="197"/>
      <c r="V36" s="197"/>
      <c r="X36" s="198"/>
      <c r="Y36" s="262" t="str">
        <f t="shared" si="8"/>
        <v xml:space="preserve"> </v>
      </c>
      <c r="Z36" s="199"/>
      <c r="AA36" s="199"/>
      <c r="AB36" s="186"/>
      <c r="AC36" s="196"/>
      <c r="AD36" s="197" t="str">
        <f t="shared" si="9"/>
        <v xml:space="preserve"> </v>
      </c>
      <c r="AE36" s="197"/>
      <c r="AF36" s="197"/>
    </row>
    <row r="37" spans="1:33" s="180" customFormat="1" ht="15" hidden="1" customHeight="1" x14ac:dyDescent="0.25">
      <c r="A37" s="169"/>
      <c r="B37" s="198"/>
      <c r="C37" s="199" t="str">
        <f t="shared" si="4"/>
        <v xml:space="preserve"> </v>
      </c>
      <c r="D37" s="199"/>
      <c r="E37" s="199"/>
      <c r="F37" s="200"/>
      <c r="G37" s="200"/>
      <c r="H37" s="186"/>
      <c r="I37" s="196"/>
      <c r="J37" s="197" t="str">
        <f t="shared" si="5"/>
        <v xml:space="preserve"> </v>
      </c>
      <c r="K37" s="197"/>
      <c r="L37" s="197"/>
      <c r="M37" s="186"/>
      <c r="N37" s="198"/>
      <c r="O37" s="262" t="str">
        <f t="shared" si="6"/>
        <v xml:space="preserve"> </v>
      </c>
      <c r="P37" s="199"/>
      <c r="Q37" s="199"/>
      <c r="R37" s="186"/>
      <c r="S37" s="196"/>
      <c r="T37" s="197" t="str">
        <f t="shared" si="7"/>
        <v xml:space="preserve"> </v>
      </c>
      <c r="U37" s="197"/>
      <c r="V37" s="197"/>
      <c r="X37" s="198"/>
      <c r="Y37" s="262" t="str">
        <f t="shared" si="8"/>
        <v xml:space="preserve"> </v>
      </c>
      <c r="Z37" s="199"/>
      <c r="AA37" s="199"/>
      <c r="AB37" s="186"/>
      <c r="AC37" s="196"/>
      <c r="AD37" s="197" t="str">
        <f t="shared" si="9"/>
        <v xml:space="preserve"> </v>
      </c>
      <c r="AE37" s="197"/>
      <c r="AF37" s="197"/>
    </row>
    <row r="38" spans="1:33" s="180" customFormat="1" ht="15" hidden="1" customHeight="1" x14ac:dyDescent="0.25">
      <c r="A38" s="169"/>
      <c r="B38" s="198"/>
      <c r="C38" s="199" t="str">
        <f t="shared" si="4"/>
        <v xml:space="preserve"> </v>
      </c>
      <c r="D38" s="199"/>
      <c r="E38" s="199"/>
      <c r="F38" s="200"/>
      <c r="G38" s="200"/>
      <c r="H38" s="186"/>
      <c r="I38" s="196"/>
      <c r="J38" s="197" t="str">
        <f t="shared" si="5"/>
        <v xml:space="preserve"> </v>
      </c>
      <c r="K38" s="197"/>
      <c r="L38" s="197"/>
      <c r="M38" s="186"/>
      <c r="N38" s="198"/>
      <c r="O38" s="262" t="str">
        <f t="shared" si="6"/>
        <v xml:space="preserve"> </v>
      </c>
      <c r="P38" s="199"/>
      <c r="Q38" s="199"/>
      <c r="R38" s="186"/>
      <c r="S38" s="196"/>
      <c r="T38" s="197" t="str">
        <f t="shared" si="7"/>
        <v xml:space="preserve"> </v>
      </c>
      <c r="U38" s="197"/>
      <c r="V38" s="197"/>
      <c r="X38" s="198"/>
      <c r="Y38" s="262" t="str">
        <f t="shared" si="8"/>
        <v xml:space="preserve"> </v>
      </c>
      <c r="Z38" s="199"/>
      <c r="AA38" s="199"/>
      <c r="AB38" s="186"/>
      <c r="AC38" s="196"/>
      <c r="AD38" s="197" t="str">
        <f t="shared" si="9"/>
        <v xml:space="preserve"> </v>
      </c>
      <c r="AE38" s="197"/>
      <c r="AF38" s="197"/>
    </row>
    <row r="39" spans="1:33" s="180" customFormat="1" ht="15" hidden="1" customHeight="1" x14ac:dyDescent="0.25">
      <c r="A39" s="169"/>
      <c r="B39" s="198"/>
      <c r="C39" s="199" t="str">
        <f t="shared" si="4"/>
        <v xml:space="preserve"> </v>
      </c>
      <c r="D39" s="199"/>
      <c r="E39" s="199"/>
      <c r="F39" s="200"/>
      <c r="G39" s="200"/>
      <c r="H39" s="186"/>
      <c r="I39" s="196"/>
      <c r="J39" s="197" t="str">
        <f t="shared" si="5"/>
        <v xml:space="preserve"> </v>
      </c>
      <c r="K39" s="197"/>
      <c r="L39" s="197"/>
      <c r="M39" s="186"/>
      <c r="N39" s="198"/>
      <c r="O39" s="262" t="str">
        <f t="shared" si="6"/>
        <v xml:space="preserve"> </v>
      </c>
      <c r="P39" s="199"/>
      <c r="Q39" s="199"/>
      <c r="R39" s="186"/>
      <c r="S39" s="196"/>
      <c r="T39" s="197" t="str">
        <f t="shared" si="7"/>
        <v xml:space="preserve"> </v>
      </c>
      <c r="U39" s="197"/>
      <c r="V39" s="197"/>
      <c r="X39" s="198"/>
      <c r="Y39" s="262" t="str">
        <f t="shared" si="8"/>
        <v xml:space="preserve"> </v>
      </c>
      <c r="Z39" s="199"/>
      <c r="AA39" s="199"/>
      <c r="AB39" s="186"/>
      <c r="AC39" s="196"/>
      <c r="AD39" s="197" t="str">
        <f t="shared" si="9"/>
        <v xml:space="preserve"> </v>
      </c>
      <c r="AE39" s="197"/>
      <c r="AF39" s="197"/>
    </row>
    <row r="40" spans="1:33" s="180" customFormat="1" ht="15" hidden="1" customHeight="1" x14ac:dyDescent="0.25">
      <c r="A40" s="169"/>
      <c r="B40" s="198"/>
      <c r="C40" s="199" t="str">
        <f t="shared" si="4"/>
        <v xml:space="preserve"> </v>
      </c>
      <c r="D40" s="199"/>
      <c r="E40" s="199"/>
      <c r="F40" s="200"/>
      <c r="G40" s="200"/>
      <c r="H40" s="186"/>
      <c r="I40" s="196"/>
      <c r="J40" s="197" t="str">
        <f t="shared" si="5"/>
        <v xml:space="preserve"> </v>
      </c>
      <c r="K40" s="197"/>
      <c r="L40" s="197"/>
      <c r="M40" s="186"/>
      <c r="N40" s="198"/>
      <c r="O40" s="262" t="str">
        <f t="shared" si="6"/>
        <v xml:space="preserve"> </v>
      </c>
      <c r="P40" s="199"/>
      <c r="Q40" s="199"/>
      <c r="R40" s="186"/>
      <c r="S40" s="196"/>
      <c r="T40" s="197" t="str">
        <f t="shared" si="7"/>
        <v xml:space="preserve"> </v>
      </c>
      <c r="U40" s="197"/>
      <c r="V40" s="197"/>
      <c r="X40" s="198"/>
      <c r="Y40" s="262" t="str">
        <f t="shared" si="8"/>
        <v xml:space="preserve"> </v>
      </c>
      <c r="Z40" s="199"/>
      <c r="AA40" s="199"/>
      <c r="AB40" s="186"/>
      <c r="AC40" s="196"/>
      <c r="AD40" s="197" t="str">
        <f t="shared" si="9"/>
        <v xml:space="preserve"> </v>
      </c>
      <c r="AE40" s="197"/>
      <c r="AF40" s="197"/>
    </row>
    <row r="41" spans="1:33" s="180" customFormat="1" ht="15" hidden="1" customHeight="1" x14ac:dyDescent="0.25">
      <c r="A41" s="169"/>
      <c r="B41" s="198"/>
      <c r="C41" s="199" t="str">
        <f t="shared" si="4"/>
        <v xml:space="preserve"> </v>
      </c>
      <c r="D41" s="199"/>
      <c r="E41" s="199"/>
      <c r="F41" s="200"/>
      <c r="G41" s="200"/>
      <c r="H41" s="186"/>
      <c r="I41" s="196"/>
      <c r="J41" s="197" t="str">
        <f t="shared" si="5"/>
        <v xml:space="preserve"> </v>
      </c>
      <c r="K41" s="197"/>
      <c r="L41" s="197"/>
      <c r="M41" s="186"/>
      <c r="N41" s="198"/>
      <c r="O41" s="262" t="str">
        <f t="shared" si="6"/>
        <v xml:space="preserve"> </v>
      </c>
      <c r="P41" s="199"/>
      <c r="Q41" s="199"/>
      <c r="R41" s="186"/>
      <c r="S41" s="196"/>
      <c r="T41" s="197" t="str">
        <f t="shared" si="7"/>
        <v xml:space="preserve"> </v>
      </c>
      <c r="U41" s="197"/>
      <c r="V41" s="197"/>
      <c r="X41" s="198"/>
      <c r="Y41" s="262" t="str">
        <f t="shared" si="8"/>
        <v xml:space="preserve"> </v>
      </c>
      <c r="Z41" s="199"/>
      <c r="AA41" s="199"/>
      <c r="AB41" s="186"/>
      <c r="AC41" s="196"/>
      <c r="AD41" s="197" t="str">
        <f t="shared" si="9"/>
        <v xml:space="preserve"> </v>
      </c>
      <c r="AE41" s="197"/>
      <c r="AF41" s="197"/>
    </row>
    <row r="42" spans="1:33" s="180" customFormat="1" ht="15" hidden="1" customHeight="1" x14ac:dyDescent="0.25">
      <c r="A42" s="169"/>
      <c r="B42" s="198"/>
      <c r="C42" s="199" t="str">
        <f t="shared" si="4"/>
        <v xml:space="preserve"> </v>
      </c>
      <c r="D42" s="199"/>
      <c r="E42" s="199"/>
      <c r="F42" s="200"/>
      <c r="G42" s="200"/>
      <c r="H42" s="186"/>
      <c r="I42" s="196"/>
      <c r="J42" s="197" t="str">
        <f t="shared" si="5"/>
        <v xml:space="preserve"> </v>
      </c>
      <c r="K42" s="197"/>
      <c r="L42" s="197"/>
      <c r="M42" s="186"/>
      <c r="N42" s="198"/>
      <c r="O42" s="262" t="str">
        <f t="shared" si="6"/>
        <v xml:space="preserve"> </v>
      </c>
      <c r="P42" s="199"/>
      <c r="Q42" s="199"/>
      <c r="R42" s="186"/>
      <c r="S42" s="196"/>
      <c r="T42" s="197" t="str">
        <f t="shared" si="7"/>
        <v xml:space="preserve"> </v>
      </c>
      <c r="U42" s="197"/>
      <c r="V42" s="197"/>
      <c r="X42" s="198"/>
      <c r="Y42" s="262" t="str">
        <f t="shared" si="8"/>
        <v xml:space="preserve"> </v>
      </c>
      <c r="Z42" s="199"/>
      <c r="AA42" s="199"/>
      <c r="AB42" s="186"/>
      <c r="AC42" s="196"/>
      <c r="AD42" s="197" t="str">
        <f t="shared" si="9"/>
        <v xml:space="preserve"> </v>
      </c>
      <c r="AE42" s="197"/>
      <c r="AF42" s="197"/>
    </row>
    <row r="43" spans="1:33" s="180" customFormat="1" ht="15" customHeight="1" x14ac:dyDescent="0.25">
      <c r="A43" s="169"/>
      <c r="B43" s="198"/>
      <c r="C43" s="199" t="str">
        <f t="shared" si="4"/>
        <v xml:space="preserve">Dinner  </v>
      </c>
      <c r="D43" s="199"/>
      <c r="E43" s="199"/>
      <c r="F43" s="200"/>
      <c r="G43" s="200"/>
      <c r="H43" s="186"/>
      <c r="I43" s="196"/>
      <c r="J43" s="197" t="str">
        <f t="shared" si="5"/>
        <v xml:space="preserve">Dinner  </v>
      </c>
      <c r="K43" s="197"/>
      <c r="L43" s="197"/>
      <c r="M43" s="186"/>
      <c r="N43" s="198"/>
      <c r="O43" s="262" t="str">
        <f t="shared" si="6"/>
        <v xml:space="preserve"> </v>
      </c>
      <c r="P43" s="199"/>
      <c r="Q43" s="199"/>
      <c r="R43" s="186"/>
      <c r="S43" s="196"/>
      <c r="T43" s="197" t="str">
        <f t="shared" si="7"/>
        <v xml:space="preserve"> </v>
      </c>
      <c r="U43" s="197"/>
      <c r="V43" s="197"/>
      <c r="X43" s="198"/>
      <c r="Y43" s="262" t="str">
        <f t="shared" si="8"/>
        <v xml:space="preserve"> </v>
      </c>
      <c r="Z43" s="199"/>
      <c r="AA43" s="199"/>
      <c r="AB43" s="186"/>
      <c r="AC43" s="196"/>
      <c r="AD43" s="197" t="str">
        <f t="shared" si="9"/>
        <v xml:space="preserve"> </v>
      </c>
      <c r="AE43" s="197"/>
      <c r="AF43" s="197"/>
    </row>
    <row r="44" spans="1:33" s="180" customFormat="1" ht="15" hidden="1" customHeight="1" x14ac:dyDescent="0.25">
      <c r="A44" s="169"/>
      <c r="B44" s="198"/>
      <c r="C44" s="199" t="str">
        <f t="shared" si="4"/>
        <v xml:space="preserve"> </v>
      </c>
      <c r="D44" s="199"/>
      <c r="E44" s="199"/>
      <c r="F44" s="200"/>
      <c r="G44" s="200"/>
      <c r="H44" s="186"/>
      <c r="I44" s="196"/>
      <c r="J44" s="197" t="str">
        <f t="shared" si="5"/>
        <v xml:space="preserve"> </v>
      </c>
      <c r="K44" s="197"/>
      <c r="L44" s="197"/>
      <c r="M44" s="186"/>
      <c r="N44" s="198"/>
      <c r="O44" s="262" t="str">
        <f t="shared" si="6"/>
        <v xml:space="preserve"> </v>
      </c>
      <c r="P44" s="199"/>
      <c r="Q44" s="199"/>
      <c r="R44" s="186"/>
      <c r="S44" s="196"/>
      <c r="T44" s="197" t="str">
        <f t="shared" si="7"/>
        <v xml:space="preserve"> </v>
      </c>
      <c r="U44" s="197"/>
      <c r="V44" s="197"/>
      <c r="X44" s="198"/>
      <c r="Y44" s="262" t="str">
        <f t="shared" si="8"/>
        <v xml:space="preserve"> </v>
      </c>
      <c r="Z44" s="199"/>
      <c r="AA44" s="199"/>
      <c r="AB44" s="186"/>
      <c r="AC44" s="196"/>
      <c r="AD44" s="197" t="str">
        <f t="shared" si="9"/>
        <v xml:space="preserve"> </v>
      </c>
      <c r="AE44" s="197"/>
      <c r="AF44" s="197"/>
    </row>
    <row r="45" spans="1:33" s="180" customFormat="1" ht="15" customHeight="1" x14ac:dyDescent="0.25">
      <c r="A45" s="169"/>
      <c r="B45" s="198"/>
      <c r="C45" s="199" t="str">
        <f t="shared" si="4"/>
        <v xml:space="preserve">Breakfast - Tomorrow </v>
      </c>
      <c r="D45" s="199"/>
      <c r="E45" s="199"/>
      <c r="F45" s="200"/>
      <c r="G45" s="200"/>
      <c r="H45" s="186"/>
      <c r="I45" s="196"/>
      <c r="J45" s="197" t="str">
        <f t="shared" si="5"/>
        <v xml:space="preserve">Breakfast - Tomorrow </v>
      </c>
      <c r="K45" s="197"/>
      <c r="L45" s="197"/>
      <c r="M45" s="186"/>
      <c r="N45" s="198"/>
      <c r="O45" s="262" t="str">
        <f t="shared" si="6"/>
        <v xml:space="preserve"> </v>
      </c>
      <c r="P45" s="199"/>
      <c r="Q45" s="199"/>
      <c r="R45" s="186"/>
      <c r="S45" s="196"/>
      <c r="T45" s="197" t="str">
        <f t="shared" si="7"/>
        <v xml:space="preserve"> </v>
      </c>
      <c r="U45" s="197"/>
      <c r="V45" s="197"/>
      <c r="X45" s="198"/>
      <c r="Y45" s="262" t="str">
        <f t="shared" si="8"/>
        <v xml:space="preserve"> </v>
      </c>
      <c r="Z45" s="199"/>
      <c r="AA45" s="199"/>
      <c r="AB45" s="186"/>
      <c r="AC45" s="196"/>
      <c r="AD45" s="197" t="str">
        <f t="shared" si="9"/>
        <v xml:space="preserve"> </v>
      </c>
      <c r="AE45" s="197"/>
      <c r="AF45" s="197"/>
    </row>
    <row r="46" spans="1:33" s="180" customFormat="1" ht="15" hidden="1" customHeight="1" x14ac:dyDescent="0.25">
      <c r="A46" s="169"/>
      <c r="B46" s="198"/>
      <c r="C46" s="199" t="str">
        <f t="shared" si="4"/>
        <v xml:space="preserve"> </v>
      </c>
      <c r="D46" s="199"/>
      <c r="E46" s="199"/>
      <c r="F46" s="200"/>
      <c r="G46" s="200"/>
      <c r="H46" s="186"/>
      <c r="I46" s="196"/>
      <c r="J46" s="197" t="str">
        <f t="shared" si="5"/>
        <v xml:space="preserve"> </v>
      </c>
      <c r="K46" s="197"/>
      <c r="L46" s="197"/>
      <c r="M46" s="186"/>
      <c r="N46" s="198"/>
      <c r="O46" s="262" t="str">
        <f t="shared" si="6"/>
        <v xml:space="preserve"> </v>
      </c>
      <c r="P46" s="199"/>
      <c r="Q46" s="199"/>
      <c r="R46" s="186"/>
      <c r="S46" s="196"/>
      <c r="T46" s="197" t="str">
        <f t="shared" si="7"/>
        <v xml:space="preserve"> </v>
      </c>
      <c r="U46" s="197"/>
      <c r="V46" s="197"/>
      <c r="X46" s="198"/>
      <c r="Y46" s="262" t="str">
        <f t="shared" si="8"/>
        <v xml:space="preserve"> </v>
      </c>
      <c r="Z46" s="199"/>
      <c r="AA46" s="199"/>
      <c r="AB46" s="186"/>
      <c r="AC46" s="196"/>
      <c r="AD46" s="197" t="str">
        <f t="shared" si="9"/>
        <v xml:space="preserve"> </v>
      </c>
      <c r="AE46" s="197"/>
      <c r="AF46" s="197"/>
    </row>
    <row r="47" spans="1:33" s="180" customFormat="1" ht="15" hidden="1" customHeight="1" x14ac:dyDescent="0.25">
      <c r="A47" s="169"/>
      <c r="B47" s="198"/>
      <c r="C47" s="199" t="str">
        <f t="shared" si="4"/>
        <v xml:space="preserve"> </v>
      </c>
      <c r="D47" s="199"/>
      <c r="E47" s="199"/>
      <c r="F47" s="200"/>
      <c r="G47" s="200"/>
      <c r="H47" s="186"/>
      <c r="I47" s="196"/>
      <c r="J47" s="197" t="str">
        <f t="shared" si="5"/>
        <v xml:space="preserve"> </v>
      </c>
      <c r="K47" s="197"/>
      <c r="L47" s="197"/>
      <c r="M47" s="186"/>
      <c r="N47" s="198"/>
      <c r="O47" s="262" t="str">
        <f t="shared" si="6"/>
        <v xml:space="preserve"> </v>
      </c>
      <c r="P47" s="199"/>
      <c r="Q47" s="199"/>
      <c r="R47" s="186"/>
      <c r="S47" s="196"/>
      <c r="T47" s="197" t="str">
        <f t="shared" si="7"/>
        <v xml:space="preserve"> </v>
      </c>
      <c r="U47" s="197"/>
      <c r="V47" s="197"/>
      <c r="X47" s="198"/>
      <c r="Y47" s="262" t="str">
        <f t="shared" si="8"/>
        <v xml:space="preserve"> </v>
      </c>
      <c r="Z47" s="199"/>
      <c r="AA47" s="199"/>
      <c r="AB47" s="186"/>
      <c r="AC47" s="196"/>
      <c r="AD47" s="197" t="str">
        <f t="shared" si="9"/>
        <v xml:space="preserve"> </v>
      </c>
      <c r="AE47" s="197"/>
      <c r="AF47" s="197"/>
    </row>
    <row r="48" spans="1:33" s="180" customFormat="1" ht="15" hidden="1" customHeight="1" x14ac:dyDescent="0.25">
      <c r="A48" s="169"/>
      <c r="B48" s="198"/>
      <c r="C48" s="199" t="str">
        <f t="shared" si="4"/>
        <v xml:space="preserve"> </v>
      </c>
      <c r="D48" s="199"/>
      <c r="E48" s="199"/>
      <c r="F48" s="200"/>
      <c r="G48" s="200"/>
      <c r="H48" s="186"/>
      <c r="I48" s="196"/>
      <c r="J48" s="197" t="str">
        <f t="shared" si="5"/>
        <v xml:space="preserve"> </v>
      </c>
      <c r="K48" s="197"/>
      <c r="L48" s="197"/>
      <c r="M48" s="186"/>
      <c r="N48" s="198"/>
      <c r="O48" s="262" t="str">
        <f t="shared" si="6"/>
        <v xml:space="preserve"> </v>
      </c>
      <c r="P48" s="199"/>
      <c r="Q48" s="199"/>
      <c r="R48" s="186"/>
      <c r="S48" s="196"/>
      <c r="T48" s="197" t="str">
        <f t="shared" si="7"/>
        <v xml:space="preserve"> </v>
      </c>
      <c r="U48" s="197"/>
      <c r="V48" s="197"/>
      <c r="X48" s="198"/>
      <c r="Y48" s="262" t="str">
        <f t="shared" si="8"/>
        <v xml:space="preserve"> </v>
      </c>
      <c r="Z48" s="199"/>
      <c r="AA48" s="199"/>
      <c r="AB48" s="186"/>
      <c r="AC48" s="196"/>
      <c r="AD48" s="197" t="str">
        <f t="shared" si="9"/>
        <v xml:space="preserve"> </v>
      </c>
      <c r="AE48" s="197"/>
      <c r="AF48" s="197"/>
    </row>
    <row r="49" spans="1:54" s="180" customFormat="1" ht="15" hidden="1" customHeight="1" x14ac:dyDescent="0.25">
      <c r="A49" s="169"/>
      <c r="B49" s="198"/>
      <c r="C49" s="199" t="str">
        <f t="shared" si="4"/>
        <v xml:space="preserve"> </v>
      </c>
      <c r="D49" s="199"/>
      <c r="E49" s="199"/>
      <c r="F49" s="200"/>
      <c r="G49" s="200"/>
      <c r="H49" s="186"/>
      <c r="I49" s="196"/>
      <c r="J49" s="197" t="str">
        <f t="shared" si="5"/>
        <v xml:space="preserve"> </v>
      </c>
      <c r="K49" s="197"/>
      <c r="L49" s="197"/>
      <c r="M49" s="186"/>
      <c r="N49" s="198"/>
      <c r="O49" s="262" t="str">
        <f t="shared" si="6"/>
        <v xml:space="preserve"> </v>
      </c>
      <c r="P49" s="199"/>
      <c r="Q49" s="199"/>
      <c r="R49" s="186"/>
      <c r="S49" s="196"/>
      <c r="T49" s="197" t="str">
        <f t="shared" si="7"/>
        <v xml:space="preserve"> </v>
      </c>
      <c r="U49" s="197"/>
      <c r="V49" s="197"/>
      <c r="X49" s="198"/>
      <c r="Y49" s="262" t="str">
        <f t="shared" si="8"/>
        <v xml:space="preserve"> </v>
      </c>
      <c r="Z49" s="199"/>
      <c r="AA49" s="199"/>
      <c r="AB49" s="186"/>
      <c r="AC49" s="196"/>
      <c r="AD49" s="197" t="str">
        <f t="shared" si="9"/>
        <v xml:space="preserve"> </v>
      </c>
      <c r="AE49" s="197"/>
      <c r="AF49" s="197"/>
    </row>
    <row r="50" spans="1:54" s="180" customFormat="1" ht="15" hidden="1" customHeight="1" x14ac:dyDescent="0.25">
      <c r="A50" s="169"/>
      <c r="B50" s="198"/>
      <c r="C50" s="199" t="str">
        <f t="shared" si="4"/>
        <v xml:space="preserve"> </v>
      </c>
      <c r="D50" s="199"/>
      <c r="E50" s="199"/>
      <c r="F50" s="200"/>
      <c r="G50" s="200"/>
      <c r="H50" s="186"/>
      <c r="I50" s="196"/>
      <c r="J50" s="197" t="str">
        <f t="shared" si="5"/>
        <v xml:space="preserve"> </v>
      </c>
      <c r="K50" s="197"/>
      <c r="L50" s="197"/>
      <c r="M50" s="186"/>
      <c r="N50" s="198"/>
      <c r="O50" s="262" t="str">
        <f t="shared" si="6"/>
        <v xml:space="preserve"> </v>
      </c>
      <c r="P50" s="199"/>
      <c r="Q50" s="199"/>
      <c r="R50" s="186"/>
      <c r="S50" s="196"/>
      <c r="T50" s="197" t="str">
        <f t="shared" si="7"/>
        <v xml:space="preserve"> </v>
      </c>
      <c r="U50" s="197"/>
      <c r="V50" s="197"/>
      <c r="X50" s="198"/>
      <c r="Y50" s="262" t="str">
        <f t="shared" si="8"/>
        <v xml:space="preserve"> </v>
      </c>
      <c r="Z50" s="199"/>
      <c r="AA50" s="199"/>
      <c r="AB50" s="186"/>
      <c r="AC50" s="196"/>
      <c r="AD50" s="197" t="str">
        <f t="shared" si="9"/>
        <v xml:space="preserve"> </v>
      </c>
      <c r="AE50" s="197"/>
      <c r="AF50" s="197"/>
    </row>
    <row r="51" spans="1:54" s="180" customFormat="1" ht="15" hidden="1" customHeight="1" x14ac:dyDescent="0.25">
      <c r="A51" s="169"/>
      <c r="B51" s="198"/>
      <c r="C51" s="199" t="str">
        <f t="shared" si="4"/>
        <v xml:space="preserve"> </v>
      </c>
      <c r="D51" s="199"/>
      <c r="E51" s="199"/>
      <c r="F51" s="200"/>
      <c r="G51" s="200"/>
      <c r="H51" s="186"/>
      <c r="I51" s="196"/>
      <c r="J51" s="197" t="str">
        <f t="shared" si="5"/>
        <v xml:space="preserve"> </v>
      </c>
      <c r="K51" s="197"/>
      <c r="L51" s="197"/>
      <c r="M51" s="186"/>
      <c r="N51" s="198"/>
      <c r="O51" s="262" t="str">
        <f t="shared" si="6"/>
        <v xml:space="preserve"> </v>
      </c>
      <c r="P51" s="199"/>
      <c r="Q51" s="199"/>
      <c r="R51" s="186"/>
      <c r="S51" s="196"/>
      <c r="T51" s="197" t="str">
        <f t="shared" si="7"/>
        <v xml:space="preserve"> </v>
      </c>
      <c r="U51" s="197"/>
      <c r="V51" s="197"/>
      <c r="X51" s="198"/>
      <c r="Y51" s="262" t="str">
        <f t="shared" si="8"/>
        <v xml:space="preserve"> </v>
      </c>
      <c r="Z51" s="199"/>
      <c r="AA51" s="199"/>
      <c r="AB51" s="186"/>
      <c r="AC51" s="196"/>
      <c r="AD51" s="197" t="str">
        <f t="shared" si="9"/>
        <v xml:space="preserve"> </v>
      </c>
      <c r="AE51" s="197"/>
      <c r="AF51" s="197"/>
    </row>
    <row r="52" spans="1:54" s="180" customFormat="1" ht="15" hidden="1" customHeight="1" x14ac:dyDescent="0.25">
      <c r="A52" s="169"/>
      <c r="B52" s="198"/>
      <c r="C52" s="199" t="str">
        <f t="shared" si="4"/>
        <v xml:space="preserve"> </v>
      </c>
      <c r="D52" s="199"/>
      <c r="E52" s="199"/>
      <c r="F52" s="200"/>
      <c r="G52" s="200"/>
      <c r="H52" s="186"/>
      <c r="I52" s="196"/>
      <c r="J52" s="197" t="str">
        <f t="shared" si="5"/>
        <v xml:space="preserve"> </v>
      </c>
      <c r="K52" s="197"/>
      <c r="L52" s="197"/>
      <c r="M52" s="186"/>
      <c r="N52" s="198"/>
      <c r="O52" s="262" t="str">
        <f t="shared" si="6"/>
        <v xml:space="preserve"> </v>
      </c>
      <c r="P52" s="199"/>
      <c r="Q52" s="199"/>
      <c r="R52" s="186"/>
      <c r="S52" s="196"/>
      <c r="T52" s="197" t="str">
        <f t="shared" si="7"/>
        <v xml:space="preserve"> </v>
      </c>
      <c r="U52" s="197"/>
      <c r="V52" s="197"/>
      <c r="X52" s="198"/>
      <c r="Y52" s="262" t="str">
        <f t="shared" si="8"/>
        <v xml:space="preserve"> </v>
      </c>
      <c r="Z52" s="199"/>
      <c r="AA52" s="199"/>
      <c r="AB52" s="186"/>
      <c r="AC52" s="196"/>
      <c r="AD52" s="197" t="str">
        <f t="shared" si="9"/>
        <v xml:space="preserve"> </v>
      </c>
      <c r="AE52" s="197"/>
      <c r="AF52" s="197"/>
    </row>
    <row r="53" spans="1:54" s="180" customFormat="1" ht="15" hidden="1" customHeight="1" x14ac:dyDescent="0.25">
      <c r="A53" s="169"/>
      <c r="B53" s="198"/>
      <c r="C53" s="199" t="str">
        <f t="shared" si="4"/>
        <v xml:space="preserve"> </v>
      </c>
      <c r="D53" s="199"/>
      <c r="E53" s="199"/>
      <c r="F53" s="200"/>
      <c r="G53" s="200"/>
      <c r="H53" s="186"/>
      <c r="I53" s="196"/>
      <c r="J53" s="197" t="str">
        <f t="shared" si="5"/>
        <v xml:space="preserve"> </v>
      </c>
      <c r="K53" s="197"/>
      <c r="L53" s="197"/>
      <c r="M53" s="186"/>
      <c r="N53" s="198"/>
      <c r="O53" s="262" t="str">
        <f t="shared" si="6"/>
        <v xml:space="preserve"> </v>
      </c>
      <c r="P53" s="199"/>
      <c r="Q53" s="199"/>
      <c r="R53" s="186"/>
      <c r="S53" s="196"/>
      <c r="T53" s="197" t="str">
        <f t="shared" si="7"/>
        <v xml:space="preserve"> </v>
      </c>
      <c r="U53" s="197"/>
      <c r="V53" s="197"/>
      <c r="X53" s="198"/>
      <c r="Y53" s="262" t="str">
        <f t="shared" si="8"/>
        <v xml:space="preserve"> </v>
      </c>
      <c r="Z53" s="199"/>
      <c r="AA53" s="199"/>
      <c r="AB53" s="186"/>
      <c r="AC53" s="196"/>
      <c r="AD53" s="197" t="str">
        <f t="shared" si="9"/>
        <v xml:space="preserve"> </v>
      </c>
      <c r="AE53" s="197"/>
      <c r="AF53" s="197"/>
    </row>
    <row r="54" spans="1:54" s="180" customFormat="1" ht="15" hidden="1" customHeight="1" x14ac:dyDescent="0.25">
      <c r="A54" s="169"/>
      <c r="B54" s="198"/>
      <c r="C54" s="199" t="str">
        <f t="shared" si="4"/>
        <v xml:space="preserve"> </v>
      </c>
      <c r="D54" s="199"/>
      <c r="E54" s="199"/>
      <c r="F54" s="200"/>
      <c r="G54" s="200"/>
      <c r="H54" s="186"/>
      <c r="I54" s="196"/>
      <c r="J54" s="197" t="str">
        <f t="shared" si="5"/>
        <v xml:space="preserve"> </v>
      </c>
      <c r="K54" s="197"/>
      <c r="L54" s="197"/>
      <c r="M54" s="186"/>
      <c r="N54" s="198"/>
      <c r="O54" s="262" t="str">
        <f t="shared" si="6"/>
        <v xml:space="preserve"> </v>
      </c>
      <c r="P54" s="199"/>
      <c r="Q54" s="199"/>
      <c r="R54" s="186"/>
      <c r="S54" s="196"/>
      <c r="T54" s="197" t="str">
        <f t="shared" si="7"/>
        <v xml:space="preserve"> </v>
      </c>
      <c r="U54" s="197"/>
      <c r="V54" s="197"/>
      <c r="X54" s="198"/>
      <c r="Y54" s="262" t="str">
        <f t="shared" si="8"/>
        <v xml:space="preserve"> </v>
      </c>
      <c r="Z54" s="199"/>
      <c r="AA54" s="199"/>
      <c r="AB54" s="186"/>
      <c r="AC54" s="196"/>
      <c r="AD54" s="197" t="str">
        <f t="shared" si="9"/>
        <v xml:space="preserve"> </v>
      </c>
      <c r="AE54" s="197"/>
      <c r="AF54" s="197"/>
    </row>
    <row r="55" spans="1:54" ht="13.8" thickBot="1" x14ac:dyDescent="0.3">
      <c r="F55" s="149"/>
      <c r="G55" s="149"/>
    </row>
    <row r="56" spans="1:54" ht="12.75" customHeight="1" thickBot="1" x14ac:dyDescent="0.3">
      <c r="A56" s="201"/>
      <c r="B56" s="503" t="str">
        <f>$A$3</f>
        <v>NYS Association of Self Insured Counties</v>
      </c>
      <c r="C56" s="504"/>
      <c r="D56" s="504"/>
      <c r="E56" s="504"/>
      <c r="F56" s="148"/>
      <c r="G56" s="148"/>
      <c r="I56" s="491" t="str">
        <f>$A$3</f>
        <v>NYS Association of Self Insured Counties</v>
      </c>
      <c r="J56" s="492"/>
      <c r="K56" s="492"/>
      <c r="L56" s="493"/>
      <c r="N56" s="503" t="str">
        <f>$A$3</f>
        <v>NYS Association of Self Insured Counties</v>
      </c>
      <c r="O56" s="504"/>
      <c r="P56" s="504"/>
      <c r="Q56" s="505"/>
      <c r="S56" s="491" t="str">
        <f>$A$3</f>
        <v>NYS Association of Self Insured Counties</v>
      </c>
      <c r="T56" s="492"/>
      <c r="U56" s="492"/>
      <c r="V56" s="493"/>
      <c r="X56" s="503" t="str">
        <f>$A$3</f>
        <v>NYS Association of Self Insured Counties</v>
      </c>
      <c r="Y56" s="504"/>
      <c r="Z56" s="504"/>
      <c r="AA56" s="505"/>
      <c r="AC56" s="491" t="str">
        <f>$A$3</f>
        <v>NYS Association of Self Insured Counties</v>
      </c>
      <c r="AD56" s="492"/>
      <c r="AE56" s="492"/>
      <c r="AF56" s="493"/>
    </row>
    <row r="57" spans="1:54" s="201" customFormat="1" ht="20.100000000000001" customHeight="1" thickBot="1" x14ac:dyDescent="0.3">
      <c r="A57" s="202" t="s">
        <v>77</v>
      </c>
      <c r="B57" s="494">
        <f>B3</f>
        <v>44475</v>
      </c>
      <c r="C57" s="495"/>
      <c r="D57" s="495"/>
      <c r="E57" s="495"/>
      <c r="F57" s="312"/>
      <c r="G57" s="312"/>
      <c r="H57" s="147"/>
      <c r="I57" s="497">
        <f>C3</f>
        <v>44476</v>
      </c>
      <c r="J57" s="498"/>
      <c r="K57" s="498"/>
      <c r="L57" s="499"/>
      <c r="M57" s="147"/>
      <c r="N57" s="494">
        <f>D3</f>
        <v>44477</v>
      </c>
      <c r="O57" s="495"/>
      <c r="P57" s="495"/>
      <c r="Q57" s="496"/>
      <c r="R57" s="147"/>
      <c r="S57" s="497">
        <f>E3</f>
        <v>44478</v>
      </c>
      <c r="T57" s="498"/>
      <c r="U57" s="498"/>
      <c r="V57" s="499"/>
      <c r="W57" s="147"/>
      <c r="X57" s="494">
        <f>F3</f>
        <v>44479</v>
      </c>
      <c r="Y57" s="495"/>
      <c r="Z57" s="495"/>
      <c r="AA57" s="496"/>
      <c r="AB57" s="147"/>
      <c r="AC57" s="497">
        <f>G3</f>
        <v>44480</v>
      </c>
      <c r="AD57" s="498"/>
      <c r="AE57" s="498"/>
      <c r="AF57" s="499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</row>
    <row r="58" spans="1:54" s="201" customFormat="1" x14ac:dyDescent="0.25">
      <c r="A58" s="147"/>
      <c r="B58" s="442" t="s">
        <v>0</v>
      </c>
      <c r="C58" s="252" t="s">
        <v>4</v>
      </c>
      <c r="D58" s="252" t="s">
        <v>2</v>
      </c>
      <c r="E58" s="252" t="s">
        <v>3</v>
      </c>
      <c r="F58" s="148"/>
      <c r="G58" s="148"/>
      <c r="H58" s="147"/>
      <c r="I58" s="450" t="s">
        <v>0</v>
      </c>
      <c r="J58" s="253" t="s">
        <v>1</v>
      </c>
      <c r="K58" s="253" t="s">
        <v>2</v>
      </c>
      <c r="L58" s="253" t="s">
        <v>3</v>
      </c>
      <c r="M58" s="147"/>
      <c r="N58" s="203" t="s">
        <v>0</v>
      </c>
      <c r="O58" s="203" t="s">
        <v>4</v>
      </c>
      <c r="P58" s="203" t="s">
        <v>2</v>
      </c>
      <c r="Q58" s="203" t="s">
        <v>3</v>
      </c>
      <c r="R58" s="147"/>
      <c r="S58" s="253" t="s">
        <v>0</v>
      </c>
      <c r="T58" s="253" t="s">
        <v>1</v>
      </c>
      <c r="U58" s="253" t="s">
        <v>2</v>
      </c>
      <c r="V58" s="253" t="s">
        <v>3</v>
      </c>
      <c r="W58" s="147"/>
      <c r="X58" s="203" t="s">
        <v>0</v>
      </c>
      <c r="Y58" s="203" t="s">
        <v>4</v>
      </c>
      <c r="Z58" s="203" t="s">
        <v>2</v>
      </c>
      <c r="AA58" s="203" t="s">
        <v>3</v>
      </c>
      <c r="AB58" s="147"/>
      <c r="AC58" s="253" t="s">
        <v>0</v>
      </c>
      <c r="AD58" s="253" t="s">
        <v>1</v>
      </c>
      <c r="AE58" s="253" t="s">
        <v>2</v>
      </c>
      <c r="AF58" s="253" t="s">
        <v>3</v>
      </c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</row>
    <row r="59" spans="1:54" s="201" customFormat="1" x14ac:dyDescent="0.25">
      <c r="A59" s="151" t="s">
        <v>68</v>
      </c>
      <c r="B59" s="443">
        <f>$L$9</f>
        <v>155</v>
      </c>
      <c r="C59" s="204">
        <f>$L$10</f>
        <v>155</v>
      </c>
      <c r="D59" s="204">
        <f>$L$11</f>
        <v>165</v>
      </c>
      <c r="E59" s="204">
        <f>$L$12</f>
        <v>175</v>
      </c>
      <c r="F59" s="231"/>
      <c r="G59" s="231"/>
      <c r="H59" s="147"/>
      <c r="I59" s="443">
        <f>$L$9</f>
        <v>155</v>
      </c>
      <c r="J59" s="204">
        <f>$L$10</f>
        <v>155</v>
      </c>
      <c r="K59" s="204">
        <f>$L$11</f>
        <v>165</v>
      </c>
      <c r="L59" s="204">
        <f>$L$12</f>
        <v>175</v>
      </c>
      <c r="M59" s="147"/>
      <c r="N59" s="204">
        <f>$L$9</f>
        <v>155</v>
      </c>
      <c r="O59" s="204">
        <f>$L$10</f>
        <v>155</v>
      </c>
      <c r="P59" s="204">
        <f>$L$11</f>
        <v>165</v>
      </c>
      <c r="Q59" s="204">
        <f>$L$12</f>
        <v>175</v>
      </c>
      <c r="R59" s="147"/>
      <c r="S59" s="204">
        <f>$L$9</f>
        <v>155</v>
      </c>
      <c r="T59" s="204">
        <f>$L$10</f>
        <v>155</v>
      </c>
      <c r="U59" s="204">
        <f>$L$11</f>
        <v>165</v>
      </c>
      <c r="V59" s="204">
        <f>$L$12</f>
        <v>175</v>
      </c>
      <c r="W59" s="147"/>
      <c r="X59" s="204">
        <f>$L$9</f>
        <v>155</v>
      </c>
      <c r="Y59" s="204">
        <f>$L$10</f>
        <v>155</v>
      </c>
      <c r="Z59" s="204">
        <f>$L$11</f>
        <v>165</v>
      </c>
      <c r="AA59" s="204">
        <f>$L$12</f>
        <v>175</v>
      </c>
      <c r="AB59" s="147"/>
      <c r="AC59" s="204">
        <f>$L$9</f>
        <v>155</v>
      </c>
      <c r="AD59" s="204">
        <f>$L$10</f>
        <v>155</v>
      </c>
      <c r="AE59" s="204">
        <f>$L$11</f>
        <v>165</v>
      </c>
      <c r="AF59" s="204">
        <f>$L$12</f>
        <v>175</v>
      </c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</row>
    <row r="60" spans="1:54" s="201" customFormat="1" x14ac:dyDescent="0.25">
      <c r="A60" s="151" t="s">
        <v>67</v>
      </c>
      <c r="B60" s="444">
        <f>$L$15+$L$16+$L$17+$L$18</f>
        <v>5</v>
      </c>
      <c r="C60" s="254">
        <f>$L$15+SUM($L$16*2)+$L$17+SUM($L$18*2)</f>
        <v>10</v>
      </c>
      <c r="D60" s="254">
        <f>$L$15+SUM($L$16*3)+$L$17+SUM($L$18*3)</f>
        <v>15</v>
      </c>
      <c r="E60" s="254">
        <f>$L$15+SUM($L$16*4)+$L$17+SUM($L$18*4)</f>
        <v>20</v>
      </c>
      <c r="F60" s="232"/>
      <c r="G60" s="232"/>
      <c r="H60" s="147"/>
      <c r="I60" s="444">
        <f>$L$15+$L$16+$L$17+$L$18</f>
        <v>5</v>
      </c>
      <c r="J60" s="254">
        <f>$L$15+SUM($L$16*2)+$L$17+SUM($L$18*2)</f>
        <v>10</v>
      </c>
      <c r="K60" s="254">
        <f>$L$15+SUM($L$16*3)+$L$17+SUM($L$18*3)</f>
        <v>15</v>
      </c>
      <c r="L60" s="254">
        <f>$L$15+SUM($L$16*4)+$L$17+SUM($L$18*4)</f>
        <v>20</v>
      </c>
      <c r="M60" s="147"/>
      <c r="N60" s="205">
        <f>$L$15+$L$16+$L$17+$L$18</f>
        <v>5</v>
      </c>
      <c r="O60" s="205">
        <f>$L$15+SUM($L$16*2)+$L$17+SUM($L$18*2)</f>
        <v>10</v>
      </c>
      <c r="P60" s="205">
        <f>$L$15+SUM($L$16*3)+$L$17+SUM($L$18*3)</f>
        <v>15</v>
      </c>
      <c r="Q60" s="205">
        <f>$L$15+SUM($L$16*4)+$L$17+SUM($L$18*4)</f>
        <v>20</v>
      </c>
      <c r="R60" s="147"/>
      <c r="S60" s="254">
        <f>$L$15+$L$16+$L$17+$L$18</f>
        <v>5</v>
      </c>
      <c r="T60" s="254">
        <f>$L$15+SUM($L$16*2)+$L$17+SUM($L$18*2)</f>
        <v>10</v>
      </c>
      <c r="U60" s="254">
        <f>$L$15+SUM($L$16*3)+$L$17+SUM($L$18*3)</f>
        <v>15</v>
      </c>
      <c r="V60" s="254">
        <f>$L$15+SUM($L$16*4)+$L$17+SUM($L$18*4)</f>
        <v>20</v>
      </c>
      <c r="W60" s="147"/>
      <c r="X60" s="205">
        <f>$L$15+$L$16+$L$17+$L$18</f>
        <v>5</v>
      </c>
      <c r="Y60" s="205">
        <f>$L$15+SUM($L$16*2)+$L$17+SUM($L$18*2)</f>
        <v>10</v>
      </c>
      <c r="Z60" s="205">
        <f>$L$15+SUM($L$16*3)+$L$17+SUM($L$18*3)</f>
        <v>15</v>
      </c>
      <c r="AA60" s="205">
        <f>$L$15+SUM($L$16*4)+$L$17+SUM($L$18*4)</f>
        <v>20</v>
      </c>
      <c r="AB60" s="147"/>
      <c r="AC60" s="254">
        <f>$L$15+$L$16+$L$17+$L$18</f>
        <v>5</v>
      </c>
      <c r="AD60" s="254">
        <f>$L$15+SUM($L$16*2)+$L$17+SUM($L$18*2)</f>
        <v>10</v>
      </c>
      <c r="AE60" s="254">
        <f>$L$15+SUM($L$16*3)+$L$17+SUM($L$18*3)</f>
        <v>15</v>
      </c>
      <c r="AF60" s="254">
        <f>$L$15+SUM($L$16*4)+$L$17+SUM($L$18*4)</f>
        <v>20</v>
      </c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</row>
    <row r="61" spans="1:54" s="201" customFormat="1" x14ac:dyDescent="0.25">
      <c r="A61" s="157" t="s">
        <v>64</v>
      </c>
      <c r="B61" s="445">
        <f>B27</f>
        <v>54.45</v>
      </c>
      <c r="C61" s="206">
        <f>B61*2</f>
        <v>108.9</v>
      </c>
      <c r="D61" s="206">
        <f>B61*3</f>
        <v>163.35000000000002</v>
      </c>
      <c r="E61" s="206">
        <f>B61*4</f>
        <v>217.8</v>
      </c>
      <c r="F61" s="232"/>
      <c r="G61" s="232"/>
      <c r="H61" s="149"/>
      <c r="I61" s="445">
        <f>C27</f>
        <v>52.75</v>
      </c>
      <c r="J61" s="206">
        <f>I61*2</f>
        <v>105.5</v>
      </c>
      <c r="K61" s="206">
        <f>I61*3</f>
        <v>158.25</v>
      </c>
      <c r="L61" s="206">
        <f>I61*4</f>
        <v>211</v>
      </c>
      <c r="M61" s="149"/>
      <c r="N61" s="207">
        <f>D27</f>
        <v>0</v>
      </c>
      <c r="O61" s="207">
        <f>N61*2</f>
        <v>0</v>
      </c>
      <c r="P61" s="207">
        <f>N61*3</f>
        <v>0</v>
      </c>
      <c r="Q61" s="207">
        <f>N61*4</f>
        <v>0</v>
      </c>
      <c r="R61" s="149"/>
      <c r="S61" s="206">
        <f>E27</f>
        <v>0</v>
      </c>
      <c r="T61" s="206">
        <f>S61*2</f>
        <v>0</v>
      </c>
      <c r="U61" s="206">
        <f>S61*3</f>
        <v>0</v>
      </c>
      <c r="V61" s="206">
        <f>S61*4</f>
        <v>0</v>
      </c>
      <c r="W61" s="149"/>
      <c r="X61" s="207">
        <f>E27</f>
        <v>0</v>
      </c>
      <c r="Y61" s="207">
        <f>X61*2</f>
        <v>0</v>
      </c>
      <c r="Z61" s="207">
        <f>X61*3</f>
        <v>0</v>
      </c>
      <c r="AA61" s="207">
        <f>X61*4</f>
        <v>0</v>
      </c>
      <c r="AB61" s="149"/>
      <c r="AC61" s="206">
        <f>F27</f>
        <v>0</v>
      </c>
      <c r="AD61" s="206">
        <f>AC61*2</f>
        <v>0</v>
      </c>
      <c r="AE61" s="206">
        <f>AC61*3</f>
        <v>0</v>
      </c>
      <c r="AF61" s="206">
        <f>AC61*4</f>
        <v>0</v>
      </c>
      <c r="AG61" s="149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</row>
    <row r="62" spans="1:54" s="201" customFormat="1" x14ac:dyDescent="0.25">
      <c r="A62" s="157" t="s">
        <v>69</v>
      </c>
      <c r="B62" s="446">
        <f>B28</f>
        <v>10.89</v>
      </c>
      <c r="C62" s="255">
        <f>B62*2</f>
        <v>21.78</v>
      </c>
      <c r="D62" s="255">
        <f>B62*3</f>
        <v>32.67</v>
      </c>
      <c r="E62" s="255">
        <f>B62*4</f>
        <v>43.56</v>
      </c>
      <c r="F62" s="232"/>
      <c r="G62" s="232"/>
      <c r="H62" s="147"/>
      <c r="I62" s="446">
        <f>C28</f>
        <v>10.55</v>
      </c>
      <c r="J62" s="255">
        <f>I62*2</f>
        <v>21.1</v>
      </c>
      <c r="K62" s="255">
        <f>I62*3</f>
        <v>31.650000000000002</v>
      </c>
      <c r="L62" s="255">
        <f>I62*4</f>
        <v>42.2</v>
      </c>
      <c r="M62" s="147"/>
      <c r="N62" s="208">
        <f>D28</f>
        <v>0</v>
      </c>
      <c r="O62" s="208">
        <f>N62*2</f>
        <v>0</v>
      </c>
      <c r="P62" s="208">
        <f>N62*3</f>
        <v>0</v>
      </c>
      <c r="Q62" s="208">
        <f>N62*4</f>
        <v>0</v>
      </c>
      <c r="R62" s="147"/>
      <c r="S62" s="255">
        <f>E28</f>
        <v>0</v>
      </c>
      <c r="T62" s="255">
        <f>S62*2</f>
        <v>0</v>
      </c>
      <c r="U62" s="255">
        <f>S62*3</f>
        <v>0</v>
      </c>
      <c r="V62" s="255">
        <f>S62*4</f>
        <v>0</v>
      </c>
      <c r="W62" s="147"/>
      <c r="X62" s="208">
        <f>F28</f>
        <v>0</v>
      </c>
      <c r="Y62" s="208">
        <f>X62*2</f>
        <v>0</v>
      </c>
      <c r="Z62" s="208">
        <f>X62*3</f>
        <v>0</v>
      </c>
      <c r="AA62" s="208">
        <f>X62*4</f>
        <v>0</v>
      </c>
      <c r="AB62" s="147"/>
      <c r="AC62" s="255">
        <f>G28</f>
        <v>0</v>
      </c>
      <c r="AD62" s="255">
        <f>AC62*2</f>
        <v>0</v>
      </c>
      <c r="AE62" s="255">
        <f>AC62*3</f>
        <v>0</v>
      </c>
      <c r="AF62" s="255">
        <f>AC62*4</f>
        <v>0</v>
      </c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</row>
    <row r="63" spans="1:54" s="201" customFormat="1" x14ac:dyDescent="0.25">
      <c r="A63" s="209" t="s">
        <v>42</v>
      </c>
      <c r="B63" s="447">
        <f>SUM(B59:B62)</f>
        <v>225.33999999999997</v>
      </c>
      <c r="C63" s="210">
        <f>SUM(C59:C62)</f>
        <v>295.67999999999995</v>
      </c>
      <c r="D63" s="210">
        <f>SUM(D59:D62)</f>
        <v>376.02000000000004</v>
      </c>
      <c r="E63" s="210">
        <f>SUM(E59:E62)</f>
        <v>456.36</v>
      </c>
      <c r="F63" s="217"/>
      <c r="G63" s="217"/>
      <c r="H63" s="147"/>
      <c r="I63" s="447">
        <f>SUM(I59:I62)</f>
        <v>223.3</v>
      </c>
      <c r="J63" s="210">
        <f>SUM(J59:J62)</f>
        <v>291.60000000000002</v>
      </c>
      <c r="K63" s="210">
        <f>SUM(K59:K62)</f>
        <v>369.9</v>
      </c>
      <c r="L63" s="210">
        <f>SUM(L59:L62)</f>
        <v>448.2</v>
      </c>
      <c r="M63" s="147"/>
      <c r="N63" s="210">
        <f>SUM(N59:N62)</f>
        <v>160</v>
      </c>
      <c r="O63" s="210">
        <f>SUM(O59:O62)</f>
        <v>165</v>
      </c>
      <c r="P63" s="210">
        <f>SUM(P59:P62)</f>
        <v>180</v>
      </c>
      <c r="Q63" s="210">
        <f>SUM(Q59:Q62)</f>
        <v>195</v>
      </c>
      <c r="R63" s="147"/>
      <c r="S63" s="210">
        <f>SUM(S59:S62)</f>
        <v>160</v>
      </c>
      <c r="T63" s="210">
        <f>SUM(T59:T62)</f>
        <v>165</v>
      </c>
      <c r="U63" s="210">
        <f>SUM(U59:U62)</f>
        <v>180</v>
      </c>
      <c r="V63" s="210">
        <f>SUM(V59:V62)</f>
        <v>195</v>
      </c>
      <c r="W63" s="147"/>
      <c r="X63" s="210">
        <f>SUM(X59:X62)</f>
        <v>160</v>
      </c>
      <c r="Y63" s="210">
        <f>SUM(Y59:Y62)</f>
        <v>165</v>
      </c>
      <c r="Z63" s="210">
        <f>SUM(Z59:Z62)</f>
        <v>180</v>
      </c>
      <c r="AA63" s="210">
        <f>SUM(AA59:AA62)</f>
        <v>195</v>
      </c>
      <c r="AB63" s="147"/>
      <c r="AC63" s="210">
        <f>SUM(AC59:AC62)</f>
        <v>160</v>
      </c>
      <c r="AD63" s="210">
        <f>SUM(AD59:AD62)</f>
        <v>165</v>
      </c>
      <c r="AE63" s="210">
        <f>SUM(AE59:AE62)</f>
        <v>180</v>
      </c>
      <c r="AF63" s="210">
        <f>SUM(AF59:AF62)</f>
        <v>195</v>
      </c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</row>
    <row r="64" spans="1:54" s="216" customFormat="1" ht="15" customHeight="1" x14ac:dyDescent="0.25">
      <c r="A64" s="212" t="s">
        <v>84</v>
      </c>
      <c r="B64" s="369">
        <f>B63/1</f>
        <v>225.33999999999997</v>
      </c>
      <c r="C64" s="258">
        <f>C63/2</f>
        <v>147.83999999999997</v>
      </c>
      <c r="D64" s="258">
        <f>D63/3</f>
        <v>125.34000000000002</v>
      </c>
      <c r="E64" s="306">
        <f>E63/4</f>
        <v>114.09</v>
      </c>
      <c r="F64" s="186" t="s">
        <v>15</v>
      </c>
      <c r="G64" s="217"/>
      <c r="H64" s="215"/>
      <c r="I64" s="369">
        <f>I63/1</f>
        <v>223.3</v>
      </c>
      <c r="J64" s="260">
        <f>J63/2</f>
        <v>145.80000000000001</v>
      </c>
      <c r="K64" s="260">
        <f>K63/3</f>
        <v>123.3</v>
      </c>
      <c r="L64" s="261">
        <f>L63/4</f>
        <v>112.05</v>
      </c>
      <c r="M64" s="215" t="s">
        <v>15</v>
      </c>
      <c r="N64" s="259">
        <f>N63/1</f>
        <v>160</v>
      </c>
      <c r="O64" s="259">
        <f>O63/2</f>
        <v>82.5</v>
      </c>
      <c r="P64" s="259">
        <f>P63/3</f>
        <v>60</v>
      </c>
      <c r="Q64" s="258">
        <f>Q63/4</f>
        <v>48.75</v>
      </c>
      <c r="R64" s="215" t="s">
        <v>15</v>
      </c>
      <c r="S64" s="260">
        <f>S63/1</f>
        <v>160</v>
      </c>
      <c r="T64" s="260">
        <f>T63/2</f>
        <v>82.5</v>
      </c>
      <c r="U64" s="260">
        <f>U63/3</f>
        <v>60</v>
      </c>
      <c r="V64" s="261">
        <f>V63/4</f>
        <v>48.75</v>
      </c>
      <c r="W64" s="180" t="s">
        <v>15</v>
      </c>
      <c r="X64" s="259">
        <f>X63/1</f>
        <v>160</v>
      </c>
      <c r="Y64" s="259">
        <f>Y63/2</f>
        <v>82.5</v>
      </c>
      <c r="Z64" s="259">
        <f>Z63/3</f>
        <v>60</v>
      </c>
      <c r="AA64" s="258">
        <f>AA63/4</f>
        <v>48.75</v>
      </c>
      <c r="AB64" s="215" t="s">
        <v>15</v>
      </c>
      <c r="AC64" s="260">
        <f>AC63/1</f>
        <v>160</v>
      </c>
      <c r="AD64" s="260">
        <f>AD63/2</f>
        <v>82.5</v>
      </c>
      <c r="AE64" s="260">
        <f>AE63/3</f>
        <v>60</v>
      </c>
      <c r="AF64" s="261">
        <f>AF63/4</f>
        <v>48.75</v>
      </c>
      <c r="AG64" s="180" t="s">
        <v>15</v>
      </c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</row>
    <row r="65" spans="1:54" s="201" customFormat="1" x14ac:dyDescent="0.25">
      <c r="A65" s="151" t="s">
        <v>70</v>
      </c>
      <c r="B65" s="444">
        <f>SUM(B59*$L$5)+SUM($B$30*1)+SUM(B60*$L$5)</f>
        <v>17.373799999999999</v>
      </c>
      <c r="C65" s="254">
        <f>SUM(C59*$L$5)+SUM($B$30*2)+SUM(C60*$L$5)</f>
        <v>22.347600000000003</v>
      </c>
      <c r="D65" s="254">
        <f>SUM(D59*$L$5)+SUM($B$30*3)+SUM(D60*$L$5)</f>
        <v>28.121400000000005</v>
      </c>
      <c r="E65" s="254">
        <f>SUM(E59*$L$5)+SUM($B$30*4)+SUM(E60*$L$5)</f>
        <v>33.89520000000001</v>
      </c>
      <c r="F65" s="149"/>
      <c r="G65" s="232"/>
      <c r="H65" s="147"/>
      <c r="I65" s="444">
        <f>SUM(I59*$L$5)+SUM($C$30*1)+SUM(I60*$L$5)</f>
        <v>17.230999999999998</v>
      </c>
      <c r="J65" s="254">
        <f>SUM(J59*$L$5)+SUM($C$30*2)+SUM(J60*$L$5)</f>
        <v>22.062000000000001</v>
      </c>
      <c r="K65" s="254">
        <f>SUM(K59*$L$5)+SUM($C$30*3)+SUM(K60*$L$5)</f>
        <v>27.693000000000001</v>
      </c>
      <c r="L65" s="254">
        <f>SUM(L59*$L$5)+SUM($C$30*4)+SUM(L60*$L$5)</f>
        <v>33.323999999999998</v>
      </c>
      <c r="M65" s="147"/>
      <c r="N65" s="205">
        <f>SUM(N59*$L$5)+SUM($D$30*1)+SUM(N60*$L$5)</f>
        <v>12.8</v>
      </c>
      <c r="O65" s="205">
        <f>SUM(O59*$L$5)+SUM($D$30*2)+SUM(O60*$L$5)</f>
        <v>13.200000000000001</v>
      </c>
      <c r="P65" s="205">
        <f>SUM(P59*$L$5)+SUM($D$30*3)+SUM(P60*$L$5)</f>
        <v>14.4</v>
      </c>
      <c r="Q65" s="205">
        <f>SUM(Q59*$L$5)+SUM($D$30*4)+SUM(Q60*$L$5)</f>
        <v>15.6</v>
      </c>
      <c r="R65" s="147"/>
      <c r="S65" s="254">
        <f>SUM(S59*$L$5)+SUM($E$30*1)+SUM(S60*$L$5)</f>
        <v>12.8</v>
      </c>
      <c r="T65" s="254">
        <f>SUM(T59*$L$5)+SUM($E$30*2)+SUM(T60*$L$5)</f>
        <v>13.200000000000001</v>
      </c>
      <c r="U65" s="254">
        <f>SUM(U59*$L$5)+SUM($E$30*3)+SUM(U60*$L$5)</f>
        <v>14.4</v>
      </c>
      <c r="V65" s="254">
        <f>SUM(V59*$L$5)+SUM($E$30*4)+SUM(V60*$L$5)</f>
        <v>15.6</v>
      </c>
      <c r="W65" s="147"/>
      <c r="X65" s="205">
        <f>SUM(X59*$L$5)+SUM($D$30*1)+SUM(X60*$L$5)</f>
        <v>12.8</v>
      </c>
      <c r="Y65" s="205">
        <f>SUM(Y59*$L$5)+SUM($D$30*2)+SUM(Y60*$L$5)</f>
        <v>13.200000000000001</v>
      </c>
      <c r="Z65" s="205">
        <f>SUM(Z59*$L$5)+SUM($D$30*3)+SUM(Z60*$L$5)</f>
        <v>14.4</v>
      </c>
      <c r="AA65" s="205">
        <f>SUM(AA59*$L$5)+SUM($D$30*4)+SUM(AA60*$L$5)</f>
        <v>15.6</v>
      </c>
      <c r="AB65" s="147"/>
      <c r="AC65" s="254">
        <f>SUM(AC59*$L$5)+SUM($E$30*1)+SUM(AC60*$L$5)</f>
        <v>12.8</v>
      </c>
      <c r="AD65" s="254">
        <f>SUM(AD59*$L$5)+SUM($E$30*2)+SUM(AD60*$L$5)</f>
        <v>13.200000000000001</v>
      </c>
      <c r="AE65" s="254">
        <f>SUM(AE59*$L$5)+SUM($E$30*3)+SUM(AE60*$L$5)</f>
        <v>14.4</v>
      </c>
      <c r="AF65" s="254">
        <f>SUM(AF59*$L$5)+SUM($E$30*4)+SUM(AF60*$L$5)</f>
        <v>15.6</v>
      </c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</row>
    <row r="66" spans="1:54" s="201" customFormat="1" ht="13.8" thickBot="1" x14ac:dyDescent="0.3">
      <c r="A66" s="151" t="s">
        <v>71</v>
      </c>
      <c r="B66" s="448">
        <f>B59*$L$6</f>
        <v>6.2</v>
      </c>
      <c r="C66" s="256">
        <f>C59*$L$6</f>
        <v>6.2</v>
      </c>
      <c r="D66" s="256">
        <f>D59*$L$6</f>
        <v>6.6000000000000005</v>
      </c>
      <c r="E66" s="256">
        <f>E59*$L$6</f>
        <v>7</v>
      </c>
      <c r="F66" s="149"/>
      <c r="G66" s="232"/>
      <c r="H66" s="147"/>
      <c r="I66" s="448">
        <f>I59*$L$6</f>
        <v>6.2</v>
      </c>
      <c r="J66" s="256">
        <f>J59*$L$6</f>
        <v>6.2</v>
      </c>
      <c r="K66" s="256">
        <f>K59*$L$6</f>
        <v>6.6000000000000005</v>
      </c>
      <c r="L66" s="256">
        <f>L59*$L$6</f>
        <v>7</v>
      </c>
      <c r="M66" s="147"/>
      <c r="N66" s="211">
        <f>N59*$L$6</f>
        <v>6.2</v>
      </c>
      <c r="O66" s="211">
        <f>O59*$L$6</f>
        <v>6.2</v>
      </c>
      <c r="P66" s="211">
        <f>P59*$L$6</f>
        <v>6.6000000000000005</v>
      </c>
      <c r="Q66" s="211">
        <f>Q59*$L$6</f>
        <v>7</v>
      </c>
      <c r="R66" s="147"/>
      <c r="S66" s="256">
        <f>S59*$L$6</f>
        <v>6.2</v>
      </c>
      <c r="T66" s="256">
        <f>T59*$L$6</f>
        <v>6.2</v>
      </c>
      <c r="U66" s="256">
        <f>U59*$L$6</f>
        <v>6.6000000000000005</v>
      </c>
      <c r="V66" s="256">
        <f>V59*$L$6</f>
        <v>7</v>
      </c>
      <c r="W66" s="147"/>
      <c r="X66" s="211">
        <f>X59*$L$6</f>
        <v>6.2</v>
      </c>
      <c r="Y66" s="211">
        <f>Y59*$L$6</f>
        <v>6.2</v>
      </c>
      <c r="Z66" s="211">
        <f>Z59*$L$6</f>
        <v>6.6000000000000005</v>
      </c>
      <c r="AA66" s="211">
        <f>AA59*$L$6</f>
        <v>7</v>
      </c>
      <c r="AB66" s="147"/>
      <c r="AC66" s="256">
        <f>AC59*$L$6</f>
        <v>6.2</v>
      </c>
      <c r="AD66" s="256">
        <f>AD59*$L$6</f>
        <v>6.2</v>
      </c>
      <c r="AE66" s="256">
        <f>AE59*$L$6</f>
        <v>6.6000000000000005</v>
      </c>
      <c r="AF66" s="256">
        <f>AF59*$L$6</f>
        <v>7</v>
      </c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</row>
    <row r="67" spans="1:54" s="216" customFormat="1" ht="15" customHeight="1" thickTop="1" x14ac:dyDescent="0.25">
      <c r="A67" s="212" t="s">
        <v>73</v>
      </c>
      <c r="B67" s="449">
        <f>SUM(B63+B65+B66)</f>
        <v>248.91379999999995</v>
      </c>
      <c r="C67" s="251">
        <f>SUM(C63+C65+C66)</f>
        <v>324.22759999999994</v>
      </c>
      <c r="D67" s="251">
        <f>SUM(D63+D65+D66)</f>
        <v>410.74140000000006</v>
      </c>
      <c r="E67" s="307">
        <f>SUM(E63+E65+E66)</f>
        <v>497.2552</v>
      </c>
      <c r="F67" s="186"/>
      <c r="G67" s="217"/>
      <c r="H67" s="215"/>
      <c r="I67" s="449">
        <f>SUM(I63+I65+I66)</f>
        <v>246.73099999999999</v>
      </c>
      <c r="J67" s="251">
        <f>SUM(J63+J65+J66)</f>
        <v>319.86200000000002</v>
      </c>
      <c r="K67" s="251">
        <f>SUM(K63+K65+K66)</f>
        <v>404.19299999999998</v>
      </c>
      <c r="L67" s="250">
        <f>SUM(L63+L65+L66)</f>
        <v>488.524</v>
      </c>
      <c r="M67" s="215"/>
      <c r="N67" s="250">
        <f>SUM(N63+N65+N66)</f>
        <v>179</v>
      </c>
      <c r="O67" s="250">
        <f>SUM(O63+O65+O66)</f>
        <v>184.39999999999998</v>
      </c>
      <c r="P67" s="250">
        <f>SUM(P63+P65+P66)</f>
        <v>201</v>
      </c>
      <c r="Q67" s="251">
        <f>SUM(Q63+Q65+Q66)</f>
        <v>217.6</v>
      </c>
      <c r="R67" s="215"/>
      <c r="S67" s="251">
        <f>SUM(S63+S65+S66)</f>
        <v>179</v>
      </c>
      <c r="T67" s="251">
        <f>SUM(T63+T65+T66)</f>
        <v>184.39999999999998</v>
      </c>
      <c r="U67" s="251">
        <f>SUM(U63+U65+U66)</f>
        <v>201</v>
      </c>
      <c r="V67" s="250">
        <f>SUM(V63+V65+V66)</f>
        <v>217.6</v>
      </c>
      <c r="W67" s="180"/>
      <c r="X67" s="250">
        <f>SUM(X63+X65+X66)</f>
        <v>179</v>
      </c>
      <c r="Y67" s="250">
        <f>SUM(Y63+Y65+Y66)</f>
        <v>184.39999999999998</v>
      </c>
      <c r="Z67" s="250">
        <f>SUM(Z63+Z65+Z66)</f>
        <v>201</v>
      </c>
      <c r="AA67" s="251">
        <f>SUM(AA63+AA65+AA66)</f>
        <v>217.6</v>
      </c>
      <c r="AB67" s="215"/>
      <c r="AC67" s="251">
        <f>SUM(AC63+AC65+AC66)</f>
        <v>179</v>
      </c>
      <c r="AD67" s="251">
        <f>SUM(AD63+AD65+AD66)</f>
        <v>184.39999999999998</v>
      </c>
      <c r="AE67" s="251">
        <f>SUM(AE63+AE65+AE66)</f>
        <v>201</v>
      </c>
      <c r="AF67" s="250">
        <f>SUM(AF63+AF65+AF66)</f>
        <v>217.6</v>
      </c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</row>
    <row r="68" spans="1:54" s="216" customFormat="1" ht="15" customHeight="1" x14ac:dyDescent="0.25">
      <c r="A68" s="212" t="s">
        <v>72</v>
      </c>
      <c r="B68" s="369">
        <f>B67/1</f>
        <v>248.91379999999995</v>
      </c>
      <c r="C68" s="258">
        <f>C67/2</f>
        <v>162.11379999999997</v>
      </c>
      <c r="D68" s="258">
        <f>D67/3</f>
        <v>136.91380000000001</v>
      </c>
      <c r="E68" s="306">
        <f>E67/4</f>
        <v>124.3138</v>
      </c>
      <c r="F68" s="186" t="s">
        <v>15</v>
      </c>
      <c r="G68" s="217"/>
      <c r="H68" s="215"/>
      <c r="I68" s="369">
        <f>I67/1</f>
        <v>246.73099999999999</v>
      </c>
      <c r="J68" s="260">
        <f>J67/2</f>
        <v>159.93100000000001</v>
      </c>
      <c r="K68" s="260">
        <f>K67/3</f>
        <v>134.73099999999999</v>
      </c>
      <c r="L68" s="261">
        <f>L67/4</f>
        <v>122.131</v>
      </c>
      <c r="M68" s="215" t="s">
        <v>15</v>
      </c>
      <c r="N68" s="259">
        <f>N67/1</f>
        <v>179</v>
      </c>
      <c r="O68" s="259">
        <f>O67/2</f>
        <v>92.199999999999989</v>
      </c>
      <c r="P68" s="259">
        <f>P67/3</f>
        <v>67</v>
      </c>
      <c r="Q68" s="258">
        <f>Q67/4</f>
        <v>54.4</v>
      </c>
      <c r="R68" s="215" t="s">
        <v>15</v>
      </c>
      <c r="S68" s="260">
        <f>S67/1</f>
        <v>179</v>
      </c>
      <c r="T68" s="260">
        <f>T67/2</f>
        <v>92.199999999999989</v>
      </c>
      <c r="U68" s="260">
        <f>U67/3</f>
        <v>67</v>
      </c>
      <c r="V68" s="261">
        <f>V67/4</f>
        <v>54.4</v>
      </c>
      <c r="W68" s="180" t="s">
        <v>15</v>
      </c>
      <c r="X68" s="259">
        <f>X67/1</f>
        <v>179</v>
      </c>
      <c r="Y68" s="259">
        <f>Y67/2</f>
        <v>92.199999999999989</v>
      </c>
      <c r="Z68" s="259">
        <f>Z67/3</f>
        <v>67</v>
      </c>
      <c r="AA68" s="258">
        <f>AA67/4</f>
        <v>54.4</v>
      </c>
      <c r="AB68" s="215" t="s">
        <v>15</v>
      </c>
      <c r="AC68" s="260">
        <f>AC67/1</f>
        <v>179</v>
      </c>
      <c r="AD68" s="260">
        <f>AD67/2</f>
        <v>92.199999999999989</v>
      </c>
      <c r="AE68" s="260">
        <f>AE67/3</f>
        <v>67</v>
      </c>
      <c r="AF68" s="261">
        <f>AF67/4</f>
        <v>54.4</v>
      </c>
      <c r="AG68" s="180" t="s">
        <v>15</v>
      </c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</row>
    <row r="69" spans="1:54" s="180" customFormat="1" ht="30" customHeight="1" thickBot="1" x14ac:dyDescent="0.3">
      <c r="A69" s="169"/>
      <c r="B69" s="217"/>
      <c r="C69" s="217"/>
      <c r="D69" s="217"/>
      <c r="E69" s="217"/>
      <c r="F69" s="217"/>
      <c r="G69" s="217"/>
      <c r="H69" s="456"/>
      <c r="I69" s="371"/>
      <c r="J69" s="371"/>
      <c r="K69" s="371"/>
      <c r="L69" s="371"/>
      <c r="M69" s="456"/>
      <c r="N69" s="371"/>
      <c r="O69" s="217"/>
      <c r="P69" s="217"/>
      <c r="Q69" s="217"/>
      <c r="R69" s="186"/>
      <c r="S69" s="217"/>
      <c r="T69" s="217"/>
      <c r="U69" s="217"/>
      <c r="V69" s="217"/>
      <c r="X69" s="217"/>
      <c r="Y69" s="217"/>
      <c r="Z69" s="217"/>
      <c r="AA69" s="217"/>
      <c r="AB69" s="186"/>
      <c r="AC69" s="217"/>
      <c r="AD69" s="217"/>
      <c r="AE69" s="217"/>
      <c r="AF69" s="217"/>
    </row>
    <row r="70" spans="1:54" ht="12.9" customHeight="1" thickBot="1" x14ac:dyDescent="0.3">
      <c r="B70" s="500" t="str">
        <f>$A$3</f>
        <v>NYS Association of Self Insured Counties</v>
      </c>
      <c r="C70" s="501"/>
      <c r="D70" s="501"/>
      <c r="E70" s="501"/>
      <c r="F70" s="148"/>
      <c r="G70" s="148"/>
      <c r="H70" s="372"/>
      <c r="I70" s="500" t="str">
        <f>$A$3</f>
        <v>NYS Association of Self Insured Counties</v>
      </c>
      <c r="J70" s="501"/>
      <c r="K70" s="501"/>
      <c r="L70" s="502"/>
      <c r="M70" s="372"/>
      <c r="N70" s="372"/>
      <c r="Q70" s="500" t="str">
        <f>$A$3</f>
        <v>NYS Association of Self Insured Counties</v>
      </c>
      <c r="R70" s="501"/>
      <c r="S70" s="501"/>
      <c r="T70" s="502"/>
      <c r="U70" s="218"/>
      <c r="X70" s="315"/>
      <c r="Y70" s="315"/>
      <c r="AA70" s="500" t="str">
        <f>$A$3</f>
        <v>NYS Association of Self Insured Counties</v>
      </c>
      <c r="AB70" s="501"/>
      <c r="AC70" s="501"/>
      <c r="AD70" s="502"/>
      <c r="AE70" s="218"/>
      <c r="AF70" s="148"/>
      <c r="AG70" s="149"/>
    </row>
    <row r="71" spans="1:54" s="201" customFormat="1" ht="20.100000000000001" customHeight="1" thickBot="1" x14ac:dyDescent="0.3">
      <c r="A71" s="264" t="s">
        <v>74</v>
      </c>
      <c r="B71" s="219">
        <f>B3</f>
        <v>44475</v>
      </c>
      <c r="C71" s="220">
        <f>C3</f>
        <v>44476</v>
      </c>
      <c r="D71" s="507"/>
      <c r="E71" s="507"/>
      <c r="F71" s="484"/>
      <c r="G71" s="484"/>
      <c r="H71" s="372"/>
      <c r="I71" s="219">
        <f>C3</f>
        <v>44476</v>
      </c>
      <c r="J71" s="220">
        <f>D3</f>
        <v>44477</v>
      </c>
      <c r="K71" s="507"/>
      <c r="L71" s="508"/>
      <c r="M71" s="372"/>
      <c r="N71" s="372"/>
      <c r="O71" s="147"/>
      <c r="P71" s="147"/>
      <c r="Q71" s="219">
        <f>D3</f>
        <v>44477</v>
      </c>
      <c r="R71" s="220">
        <f>E3</f>
        <v>44478</v>
      </c>
      <c r="S71" s="316"/>
      <c r="T71" s="317"/>
      <c r="U71" s="147"/>
      <c r="V71" s="147"/>
      <c r="W71" s="147"/>
      <c r="X71" s="312"/>
      <c r="Y71" s="312"/>
      <c r="Z71" s="486"/>
      <c r="AA71" s="219">
        <f>F3</f>
        <v>44479</v>
      </c>
      <c r="AB71" s="220">
        <f>G3</f>
        <v>44480</v>
      </c>
      <c r="AC71" s="316"/>
      <c r="AD71" s="317"/>
      <c r="AE71" s="147"/>
      <c r="AF71" s="265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</row>
    <row r="72" spans="1:54" s="201" customFormat="1" x14ac:dyDescent="0.25">
      <c r="B72" s="442" t="s">
        <v>0</v>
      </c>
      <c r="C72" s="252" t="s">
        <v>4</v>
      </c>
      <c r="D72" s="252" t="s">
        <v>2</v>
      </c>
      <c r="E72" s="252" t="s">
        <v>3</v>
      </c>
      <c r="F72" s="148"/>
      <c r="G72" s="148"/>
      <c r="H72" s="372"/>
      <c r="I72" s="203" t="s">
        <v>0</v>
      </c>
      <c r="J72" s="203" t="s">
        <v>1</v>
      </c>
      <c r="K72" s="203" t="s">
        <v>2</v>
      </c>
      <c r="L72" s="203" t="s">
        <v>3</v>
      </c>
      <c r="M72" s="372"/>
      <c r="N72" s="372"/>
      <c r="O72" s="147"/>
      <c r="P72" s="147"/>
      <c r="Q72" s="253" t="s">
        <v>0</v>
      </c>
      <c r="R72" s="253" t="s">
        <v>4</v>
      </c>
      <c r="S72" s="253" t="s">
        <v>2</v>
      </c>
      <c r="T72" s="253" t="s">
        <v>3</v>
      </c>
      <c r="U72" s="147"/>
      <c r="V72" s="147"/>
      <c r="W72" s="147"/>
      <c r="X72" s="302"/>
      <c r="Y72" s="302"/>
      <c r="Z72" s="486"/>
      <c r="AA72" s="253" t="s">
        <v>0</v>
      </c>
      <c r="AB72" s="253" t="s">
        <v>4</v>
      </c>
      <c r="AC72" s="253" t="s">
        <v>2</v>
      </c>
      <c r="AD72" s="253" t="s">
        <v>3</v>
      </c>
      <c r="AE72" s="147"/>
      <c r="AF72" s="222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</row>
    <row r="73" spans="1:54" s="201" customFormat="1" x14ac:dyDescent="0.25">
      <c r="A73" s="151" t="s">
        <v>68</v>
      </c>
      <c r="B73" s="443">
        <f>SUM($L$9)*2</f>
        <v>310</v>
      </c>
      <c r="C73" s="204">
        <f>SUM($L$10)*2</f>
        <v>310</v>
      </c>
      <c r="D73" s="204">
        <f>SUM($L$11)*2</f>
        <v>330</v>
      </c>
      <c r="E73" s="204">
        <f>SUM($L$12)*2</f>
        <v>350</v>
      </c>
      <c r="F73" s="231"/>
      <c r="G73" s="231"/>
      <c r="H73" s="372"/>
      <c r="I73" s="204">
        <f>SUM($L$9)*2</f>
        <v>310</v>
      </c>
      <c r="J73" s="204">
        <f>SUM($L$10)*2</f>
        <v>310</v>
      </c>
      <c r="K73" s="204">
        <f>SUM($L$11)*2</f>
        <v>330</v>
      </c>
      <c r="L73" s="204">
        <f>SUM($L$12)*2</f>
        <v>350</v>
      </c>
      <c r="M73" s="372"/>
      <c r="N73" s="372"/>
      <c r="O73" s="147"/>
      <c r="P73" s="147"/>
      <c r="Q73" s="204">
        <f>SUM($L$9)*2</f>
        <v>310</v>
      </c>
      <c r="R73" s="204">
        <f>SUM($L$10)*2</f>
        <v>310</v>
      </c>
      <c r="S73" s="204">
        <f>SUM($L$11)*2</f>
        <v>330</v>
      </c>
      <c r="T73" s="204">
        <f>SUM($L$12)*2</f>
        <v>350</v>
      </c>
      <c r="U73" s="147"/>
      <c r="V73" s="147"/>
      <c r="W73" s="147"/>
      <c r="X73" s="231"/>
      <c r="Y73" s="231"/>
      <c r="Z73" s="486"/>
      <c r="AA73" s="204">
        <f>SUM($L$9)*2</f>
        <v>310</v>
      </c>
      <c r="AB73" s="204">
        <f>SUM($L$10)*2</f>
        <v>310</v>
      </c>
      <c r="AC73" s="204">
        <f>SUM($L$11)*2</f>
        <v>330</v>
      </c>
      <c r="AD73" s="204">
        <f>SUM($L$12)*2</f>
        <v>350</v>
      </c>
      <c r="AE73" s="147"/>
      <c r="AF73" s="223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</row>
    <row r="74" spans="1:54" s="201" customFormat="1" x14ac:dyDescent="0.25">
      <c r="A74" s="151" t="s">
        <v>67</v>
      </c>
      <c r="B74" s="444">
        <f>SUM($L$15*2)+SUM($L$16*2*1)+$L$17+$L$18</f>
        <v>10</v>
      </c>
      <c r="C74" s="254">
        <f>SUM($L$15*2)+SUM($L$16*2*2)+$L$17+SUM($L$18*2)</f>
        <v>20</v>
      </c>
      <c r="D74" s="254">
        <f>SUM($L$15*2)+SUM($L$16*2*3)+$L$17+SUM($L$18*3)</f>
        <v>30</v>
      </c>
      <c r="E74" s="254">
        <f>SUM($L$15*2)+SUM($L$16*2*4)+$L$17+SUM($L$18*4)</f>
        <v>40</v>
      </c>
      <c r="F74" s="232"/>
      <c r="G74" s="232"/>
      <c r="H74" s="372"/>
      <c r="I74" s="205">
        <f>SUM($L$15*2)+SUM($L$16*2*1)+$L$17+$L$18</f>
        <v>10</v>
      </c>
      <c r="J74" s="205">
        <f>SUM($L$15*2)+SUM($L$16*2*2)+$L$17+SUM($L$18*2)</f>
        <v>20</v>
      </c>
      <c r="K74" s="205">
        <f>SUM($L$15*2)+SUM($L$16*2*3)+$L$17+SUM($L$18*3)</f>
        <v>30</v>
      </c>
      <c r="L74" s="205">
        <f>SUM($L$15*2)+SUM($L$16*2*4)+$L$17+SUM($L$18*4)</f>
        <v>40</v>
      </c>
      <c r="M74" s="372"/>
      <c r="N74" s="372"/>
      <c r="O74" s="147"/>
      <c r="P74" s="147"/>
      <c r="Q74" s="254">
        <f>SUM($L$15*2)+SUM($L$16*2*1)+$L$17+$L$18</f>
        <v>10</v>
      </c>
      <c r="R74" s="254">
        <f>SUM($L$15*2)+SUM($L$16*2*2)+$L$17+SUM($L$18*2)</f>
        <v>20</v>
      </c>
      <c r="S74" s="254">
        <f>SUM($L$15*2)+SUM($L$16*2*3)+$L$17+SUM($L$18*3)</f>
        <v>30</v>
      </c>
      <c r="T74" s="254">
        <f>SUM($L$15*2)+SUM($L$16*2*4)+$L$17+SUM($L$18*4)</f>
        <v>40</v>
      </c>
      <c r="U74" s="147"/>
      <c r="V74" s="147"/>
      <c r="W74" s="147"/>
      <c r="X74" s="232"/>
      <c r="Y74" s="232"/>
      <c r="Z74" s="486"/>
      <c r="AA74" s="254">
        <f>SUM($L$15*2)+SUM($L$16*2*1)+$L$17+$L$18</f>
        <v>10</v>
      </c>
      <c r="AB74" s="254">
        <f>SUM($L$15*2)+SUM($L$16*2*2)+$L$17+SUM($L$18*2)</f>
        <v>20</v>
      </c>
      <c r="AC74" s="254">
        <f>SUM($L$15*2)+SUM($L$16*2*3)+$L$17+SUM($L$18*3)</f>
        <v>30</v>
      </c>
      <c r="AD74" s="254">
        <f>SUM($L$15*2)+SUM($L$16*2*4)+$L$17+SUM($L$18*4)</f>
        <v>40</v>
      </c>
      <c r="AE74" s="147"/>
      <c r="AF74" s="224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</row>
    <row r="75" spans="1:54" s="201" customFormat="1" x14ac:dyDescent="0.25">
      <c r="A75" s="157" t="s">
        <v>64</v>
      </c>
      <c r="B75" s="445">
        <f>B27+C27</f>
        <v>107.2</v>
      </c>
      <c r="C75" s="206">
        <f>B75*2</f>
        <v>214.4</v>
      </c>
      <c r="D75" s="206">
        <f>B75*3</f>
        <v>321.60000000000002</v>
      </c>
      <c r="E75" s="206">
        <f>B75*4</f>
        <v>428.8</v>
      </c>
      <c r="F75" s="232"/>
      <c r="G75" s="232"/>
      <c r="H75" s="457"/>
      <c r="I75" s="207">
        <f>C27+D27</f>
        <v>52.75</v>
      </c>
      <c r="J75" s="207">
        <f>I75*2</f>
        <v>105.5</v>
      </c>
      <c r="K75" s="207">
        <f>I75*3</f>
        <v>158.25</v>
      </c>
      <c r="L75" s="207">
        <f>I75*4</f>
        <v>211</v>
      </c>
      <c r="M75" s="457"/>
      <c r="N75" s="372"/>
      <c r="O75" s="147"/>
      <c r="P75" s="147"/>
      <c r="Q75" s="206">
        <f>+D27+E27</f>
        <v>0</v>
      </c>
      <c r="R75" s="206">
        <f>Q75*2</f>
        <v>0</v>
      </c>
      <c r="S75" s="206">
        <f>Q75*3</f>
        <v>0</v>
      </c>
      <c r="T75" s="206">
        <f>Q75*4</f>
        <v>0</v>
      </c>
      <c r="U75" s="147"/>
      <c r="V75" s="147"/>
      <c r="W75" s="147"/>
      <c r="X75" s="232"/>
      <c r="Y75" s="232"/>
      <c r="Z75" s="486"/>
      <c r="AA75" s="206">
        <f>+I27+J27</f>
        <v>0</v>
      </c>
      <c r="AB75" s="206">
        <f>AA75*2</f>
        <v>0</v>
      </c>
      <c r="AC75" s="206">
        <f>AA75*3</f>
        <v>0</v>
      </c>
      <c r="AD75" s="206">
        <f>AA75*4</f>
        <v>0</v>
      </c>
      <c r="AE75" s="147"/>
      <c r="AF75" s="223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</row>
    <row r="76" spans="1:54" s="216" customFormat="1" x14ac:dyDescent="0.25">
      <c r="A76" s="157" t="s">
        <v>69</v>
      </c>
      <c r="B76" s="446">
        <f>B28+C28</f>
        <v>21.44</v>
      </c>
      <c r="C76" s="255">
        <f>B76*2</f>
        <v>42.88</v>
      </c>
      <c r="D76" s="255">
        <f>B76*3</f>
        <v>64.320000000000007</v>
      </c>
      <c r="E76" s="255">
        <f>B76*4</f>
        <v>85.76</v>
      </c>
      <c r="F76" s="232"/>
      <c r="G76" s="232"/>
      <c r="H76" s="372"/>
      <c r="I76" s="208">
        <f>C28+D28</f>
        <v>10.55</v>
      </c>
      <c r="J76" s="208">
        <f>I76*2</f>
        <v>21.1</v>
      </c>
      <c r="K76" s="208">
        <f>I76*3</f>
        <v>31.650000000000002</v>
      </c>
      <c r="L76" s="208">
        <f>I76*4</f>
        <v>42.2</v>
      </c>
      <c r="M76" s="372"/>
      <c r="N76" s="373"/>
      <c r="O76" s="180"/>
      <c r="P76" s="180"/>
      <c r="Q76" s="255">
        <f>+D28+E28</f>
        <v>0</v>
      </c>
      <c r="R76" s="255">
        <f>Q76*2</f>
        <v>0</v>
      </c>
      <c r="S76" s="255">
        <f>Q76*3</f>
        <v>0</v>
      </c>
      <c r="T76" s="255">
        <f>Q76*4</f>
        <v>0</v>
      </c>
      <c r="U76" s="180"/>
      <c r="V76" s="180"/>
      <c r="W76" s="180"/>
      <c r="X76" s="232"/>
      <c r="Y76" s="232"/>
      <c r="Z76" s="486"/>
      <c r="AA76" s="255">
        <f>+I28+J28</f>
        <v>0</v>
      </c>
      <c r="AB76" s="255">
        <f>AA76*2</f>
        <v>0</v>
      </c>
      <c r="AC76" s="255">
        <f>AA76*3</f>
        <v>0</v>
      </c>
      <c r="AD76" s="255">
        <f>AA76*4</f>
        <v>0</v>
      </c>
      <c r="AE76" s="180"/>
      <c r="AF76" s="225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80"/>
      <c r="BA76" s="180"/>
      <c r="BB76" s="180"/>
    </row>
    <row r="77" spans="1:54" s="201" customFormat="1" x14ac:dyDescent="0.25">
      <c r="A77" s="209" t="s">
        <v>42</v>
      </c>
      <c r="B77" s="447">
        <f>SUM(B73:B76)</f>
        <v>448.64</v>
      </c>
      <c r="C77" s="210">
        <f>SUM(C73:C76)</f>
        <v>587.28</v>
      </c>
      <c r="D77" s="210">
        <f>SUM(D73:D76)</f>
        <v>745.92000000000007</v>
      </c>
      <c r="E77" s="210">
        <f>SUM(E73:E76)</f>
        <v>904.56</v>
      </c>
      <c r="F77" s="217"/>
      <c r="G77" s="217"/>
      <c r="H77" s="372"/>
      <c r="I77" s="210">
        <f>SUM(I73:I76)</f>
        <v>383.3</v>
      </c>
      <c r="J77" s="210">
        <f>SUM(J73:J76)</f>
        <v>456.6</v>
      </c>
      <c r="K77" s="210">
        <f>SUM(K73:K76)</f>
        <v>549.9</v>
      </c>
      <c r="L77" s="210">
        <f>SUM(L73:L76)</f>
        <v>643.20000000000005</v>
      </c>
      <c r="M77" s="372"/>
      <c r="N77" s="372"/>
      <c r="O77" s="147"/>
      <c r="P77" s="147"/>
      <c r="Q77" s="210">
        <f>SUM(Q73:Q76)</f>
        <v>320</v>
      </c>
      <c r="R77" s="210">
        <f>SUM(R73:R76)</f>
        <v>330</v>
      </c>
      <c r="S77" s="210">
        <f>SUM(S73:S76)</f>
        <v>360</v>
      </c>
      <c r="T77" s="210">
        <f>SUM(T73:T76)</f>
        <v>390</v>
      </c>
      <c r="U77" s="147"/>
      <c r="V77" s="147"/>
      <c r="W77" s="147"/>
      <c r="X77" s="217"/>
      <c r="Y77" s="217"/>
      <c r="Z77" s="486"/>
      <c r="AA77" s="210">
        <f>SUM(AA73:AA76)</f>
        <v>320</v>
      </c>
      <c r="AB77" s="210">
        <f>SUM(AB73:AB76)</f>
        <v>330</v>
      </c>
      <c r="AC77" s="210">
        <f>SUM(AC73:AC76)</f>
        <v>360</v>
      </c>
      <c r="AD77" s="210">
        <f>SUM(AD73:AD76)</f>
        <v>390</v>
      </c>
      <c r="AE77" s="147"/>
      <c r="AF77" s="223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</row>
    <row r="78" spans="1:54" s="201" customFormat="1" ht="15" customHeight="1" x14ac:dyDescent="0.25">
      <c r="A78" s="212" t="s">
        <v>84</v>
      </c>
      <c r="B78" s="369">
        <f>B77/1</f>
        <v>448.64</v>
      </c>
      <c r="C78" s="370">
        <f>C77/2</f>
        <v>293.64</v>
      </c>
      <c r="D78" s="226">
        <f>D77/3</f>
        <v>248.64000000000001</v>
      </c>
      <c r="E78" s="314">
        <f>E77/4</f>
        <v>226.14</v>
      </c>
      <c r="F78" s="186" t="s">
        <v>15</v>
      </c>
      <c r="G78" s="217"/>
      <c r="H78" s="459"/>
      <c r="I78" s="369">
        <f>I77/1</f>
        <v>383.3</v>
      </c>
      <c r="J78" s="369">
        <f>J77/2</f>
        <v>228.3</v>
      </c>
      <c r="K78" s="226">
        <f>K77/3</f>
        <v>183.29999999999998</v>
      </c>
      <c r="L78" s="226">
        <f>L77/4</f>
        <v>160.80000000000001</v>
      </c>
      <c r="M78" s="456" t="s">
        <v>15</v>
      </c>
      <c r="N78" s="372"/>
      <c r="O78" s="147"/>
      <c r="P78" s="147"/>
      <c r="Q78" s="226">
        <f>Q77/1</f>
        <v>320</v>
      </c>
      <c r="R78" s="263">
        <f>R77/2</f>
        <v>165</v>
      </c>
      <c r="S78" s="263">
        <f>S77/3</f>
        <v>120</v>
      </c>
      <c r="T78" s="263">
        <f>T77/4</f>
        <v>97.5</v>
      </c>
      <c r="U78" s="180" t="s">
        <v>15</v>
      </c>
      <c r="V78" s="147"/>
      <c r="W78" s="147"/>
      <c r="X78" s="217"/>
      <c r="Y78" s="217"/>
      <c r="Z78" s="486"/>
      <c r="AA78" s="226">
        <f>AA77/1</f>
        <v>320</v>
      </c>
      <c r="AB78" s="263">
        <f>AB77/2</f>
        <v>165</v>
      </c>
      <c r="AC78" s="263">
        <f>AC77/3</f>
        <v>120</v>
      </c>
      <c r="AD78" s="263">
        <f>AD77/4</f>
        <v>97.5</v>
      </c>
      <c r="AE78" s="180" t="s">
        <v>15</v>
      </c>
      <c r="AF78" s="265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</row>
    <row r="79" spans="1:54" s="201" customFormat="1" x14ac:dyDescent="0.25">
      <c r="A79" s="151" t="s">
        <v>70</v>
      </c>
      <c r="B79" s="444">
        <f>SUM(B73*$L$5)+SUM($B$30*1)+SUM($C$30*1)+SUM(B74*$L$5)</f>
        <v>34.604799999999997</v>
      </c>
      <c r="C79" s="254">
        <f>SUM(C73*$L$5)+SUM($B$30*2)+SUM($C$30*2)+SUM(C74*$L$5)</f>
        <v>44.409600000000005</v>
      </c>
      <c r="D79" s="254">
        <f>SUM(D73*$L$5)+SUM($B$30*3)+SUM($C$30*3)+SUM(D74*$L$5)</f>
        <v>55.814400000000006</v>
      </c>
      <c r="E79" s="254">
        <f>SUM(E73*$L$5)+SUM($B$30*4)+SUM($C$30*4)+SUM(E74*$L$5)</f>
        <v>67.219200000000015</v>
      </c>
      <c r="F79" s="149"/>
      <c r="G79" s="232"/>
      <c r="H79" s="372"/>
      <c r="I79" s="205">
        <f>SUM(I73*$L$5)+SUM($C$30*1)+SUM($D$30*1)+SUM(I74*$L$5)</f>
        <v>30.031000000000002</v>
      </c>
      <c r="J79" s="205">
        <f>SUM(J73*$L$5)+SUM($C$30*2)+SUM($D$30*2)+SUM(J74*$L$5)</f>
        <v>35.262</v>
      </c>
      <c r="K79" s="205">
        <f>SUM(K73*$L$5)+SUM($C$30*3)+SUM($D$30*3)+SUM(K74*$L$5)</f>
        <v>42.092999999999996</v>
      </c>
      <c r="L79" s="205">
        <f>SUM(L73*$L$5)+SUM($C$30*4)+SUM($D$30*4)+SUM(L74*$L$5)</f>
        <v>48.924000000000007</v>
      </c>
      <c r="M79" s="457"/>
      <c r="N79" s="372"/>
      <c r="O79" s="147"/>
      <c r="P79" s="147"/>
      <c r="Q79" s="254">
        <f>SUM(Q73*$L$5)+SUM($D$30*1)+SUM($E$30*1)+SUM(Q74*$L$5)</f>
        <v>25.6</v>
      </c>
      <c r="R79" s="254">
        <f>SUM(R73*$L$5)+SUM($D$30*2)+SUM($E$30*2)+SUM(R74*$L$5)</f>
        <v>26.400000000000002</v>
      </c>
      <c r="S79" s="254">
        <f>SUM(S73*$L$5)+SUM($D$30*3)+SUM($E$30*3)+SUM(S74*$L$5)</f>
        <v>28.8</v>
      </c>
      <c r="T79" s="254">
        <f>SUM(T73*$L$5)+SUM($D$30*4)+SUM($E$30*4)+SUM(T74*$L$5)</f>
        <v>31.2</v>
      </c>
      <c r="U79" s="147"/>
      <c r="V79" s="147"/>
      <c r="W79" s="147"/>
      <c r="X79" s="232"/>
      <c r="Y79" s="232"/>
      <c r="Z79" s="486"/>
      <c r="AA79" s="254">
        <f>SUM(AA73*$L$5)+SUM($D$30*1)+SUM($E$30*1)+SUM(AA74*$L$5)</f>
        <v>25.6</v>
      </c>
      <c r="AB79" s="254">
        <f>SUM(AB73*$L$5)+SUM($D$30*2)+SUM($E$30*2)+SUM(AB74*$L$5)</f>
        <v>26.400000000000002</v>
      </c>
      <c r="AC79" s="254">
        <f>SUM(AC73*$L$5)+SUM($D$30*3)+SUM($E$30*3)+SUM(AC74*$L$5)</f>
        <v>28.8</v>
      </c>
      <c r="AD79" s="254">
        <f>SUM(AD73*$L$5)+SUM($D$30*4)+SUM($E$30*4)+SUM(AD74*$L$5)</f>
        <v>31.2</v>
      </c>
      <c r="AE79" s="147"/>
      <c r="AF79" s="223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</row>
    <row r="80" spans="1:54" s="216" customFormat="1" ht="13.8" thickBot="1" x14ac:dyDescent="0.3">
      <c r="A80" s="151" t="s">
        <v>71</v>
      </c>
      <c r="B80" s="448">
        <f>B73*$L$6</f>
        <v>12.4</v>
      </c>
      <c r="C80" s="256">
        <f>C73*$L$6</f>
        <v>12.4</v>
      </c>
      <c r="D80" s="256">
        <f>D73*$L$6</f>
        <v>13.200000000000001</v>
      </c>
      <c r="E80" s="256">
        <f>E73*$L$6</f>
        <v>14</v>
      </c>
      <c r="F80" s="149"/>
      <c r="G80" s="232"/>
      <c r="H80" s="372"/>
      <c r="I80" s="211">
        <f>I73*$L$6</f>
        <v>12.4</v>
      </c>
      <c r="J80" s="211">
        <f>J73*$L$6</f>
        <v>12.4</v>
      </c>
      <c r="K80" s="211">
        <f>K73*$L$6</f>
        <v>13.200000000000001</v>
      </c>
      <c r="L80" s="211">
        <f>L73*$L$6</f>
        <v>14</v>
      </c>
      <c r="M80" s="457"/>
      <c r="N80" s="373"/>
      <c r="O80" s="180"/>
      <c r="P80" s="180"/>
      <c r="Q80" s="256">
        <f>Q73*$L$6</f>
        <v>12.4</v>
      </c>
      <c r="R80" s="256">
        <f>R73*$L$6</f>
        <v>12.4</v>
      </c>
      <c r="S80" s="256">
        <f>S73*$L$6</f>
        <v>13.200000000000001</v>
      </c>
      <c r="T80" s="256">
        <f>T73*$L$6</f>
        <v>14</v>
      </c>
      <c r="U80" s="180"/>
      <c r="V80" s="180"/>
      <c r="W80" s="180"/>
      <c r="X80" s="232"/>
      <c r="Y80" s="232"/>
      <c r="Z80" s="486"/>
      <c r="AA80" s="256">
        <f>AA73*$L$6</f>
        <v>12.4</v>
      </c>
      <c r="AB80" s="256">
        <f>AB73*$L$6</f>
        <v>12.4</v>
      </c>
      <c r="AC80" s="256">
        <f>AC73*$L$6</f>
        <v>13.200000000000001</v>
      </c>
      <c r="AD80" s="256">
        <f>AD73*$L$6</f>
        <v>14</v>
      </c>
      <c r="AE80" s="180"/>
      <c r="AF80" s="225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</row>
    <row r="81" spans="1:54" s="201" customFormat="1" ht="15" customHeight="1" thickTop="1" x14ac:dyDescent="0.25">
      <c r="A81" s="212" t="s">
        <v>73</v>
      </c>
      <c r="B81" s="449">
        <f>SUM(B77+B79+B80)</f>
        <v>495.64479999999998</v>
      </c>
      <c r="C81" s="251">
        <f>SUM(C77+C79+C80)</f>
        <v>644.0895999999999</v>
      </c>
      <c r="D81" s="251">
        <f>SUM(D77+D79+D80)</f>
        <v>814.9344000000001</v>
      </c>
      <c r="E81" s="308">
        <f>SUM(E77+E79+E80)</f>
        <v>985.77919999999995</v>
      </c>
      <c r="F81" s="186"/>
      <c r="G81" s="217"/>
      <c r="H81" s="459"/>
      <c r="I81" s="213">
        <f>SUM(I77+I79+I80)</f>
        <v>425.73099999999999</v>
      </c>
      <c r="J81" s="213">
        <f>SUM(J77+J79+J80)</f>
        <v>504.262</v>
      </c>
      <c r="K81" s="213">
        <f>SUM(K77+K79+K80)</f>
        <v>605.19299999999998</v>
      </c>
      <c r="L81" s="213">
        <f>SUM(L77+L79+L80)</f>
        <v>706.12400000000002</v>
      </c>
      <c r="M81" s="458"/>
      <c r="N81" s="372"/>
      <c r="O81" s="147"/>
      <c r="P81" s="147"/>
      <c r="Q81" s="251">
        <f>SUM(Q77+Q79+Q80)</f>
        <v>358</v>
      </c>
      <c r="R81" s="250">
        <f>SUM(R77+R79+R80)</f>
        <v>368.79999999999995</v>
      </c>
      <c r="S81" s="250">
        <f>SUM(S77+S79+S80)</f>
        <v>402</v>
      </c>
      <c r="T81" s="250">
        <f>SUM(T77+T79+T80)</f>
        <v>435.2</v>
      </c>
      <c r="U81" s="147"/>
      <c r="V81" s="147"/>
      <c r="W81" s="147"/>
      <c r="X81" s="217"/>
      <c r="Y81" s="217"/>
      <c r="Z81" s="486"/>
      <c r="AA81" s="251">
        <f>SUM(AA77+AA79+AA80)</f>
        <v>358</v>
      </c>
      <c r="AB81" s="250">
        <f>SUM(AB77+AB79+AB80)</f>
        <v>368.79999999999995</v>
      </c>
      <c r="AC81" s="250">
        <f>SUM(AC77+AC79+AC80)</f>
        <v>402</v>
      </c>
      <c r="AD81" s="250">
        <f>SUM(AD77+AD79+AD80)</f>
        <v>435.2</v>
      </c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</row>
    <row r="82" spans="1:54" s="201" customFormat="1" ht="15" customHeight="1" x14ac:dyDescent="0.25">
      <c r="A82" s="212" t="s">
        <v>72</v>
      </c>
      <c r="B82" s="369">
        <f>B81/1</f>
        <v>495.64479999999998</v>
      </c>
      <c r="C82" s="226">
        <f>C81/2</f>
        <v>322.04479999999995</v>
      </c>
      <c r="D82" s="226">
        <f>D81/3</f>
        <v>271.64480000000003</v>
      </c>
      <c r="E82" s="314">
        <f>E81/4</f>
        <v>246.44479999999999</v>
      </c>
      <c r="F82" s="186" t="s">
        <v>15</v>
      </c>
      <c r="G82" s="217"/>
      <c r="H82" s="459"/>
      <c r="I82" s="369">
        <f>I81/1</f>
        <v>425.73099999999999</v>
      </c>
      <c r="J82" s="369">
        <f>J81/2</f>
        <v>252.131</v>
      </c>
      <c r="K82" s="226">
        <f>K81/3</f>
        <v>201.73099999999999</v>
      </c>
      <c r="L82" s="226">
        <f>L81/4</f>
        <v>176.53100000000001</v>
      </c>
      <c r="M82" s="456" t="s">
        <v>85</v>
      </c>
      <c r="N82" s="372"/>
      <c r="O82" s="147"/>
      <c r="P82" s="147"/>
      <c r="Q82" s="226">
        <f>Q81/1</f>
        <v>358</v>
      </c>
      <c r="R82" s="263">
        <f>R81/2</f>
        <v>184.39999999999998</v>
      </c>
      <c r="S82" s="263">
        <f>S81/3</f>
        <v>134</v>
      </c>
      <c r="T82" s="263">
        <f>T81/4</f>
        <v>108.8</v>
      </c>
      <c r="U82" s="180" t="s">
        <v>15</v>
      </c>
      <c r="V82" s="147"/>
      <c r="W82" s="147"/>
      <c r="X82" s="217"/>
      <c r="Y82" s="217"/>
      <c r="Z82" s="486"/>
      <c r="AA82" s="226">
        <f>AA81/1</f>
        <v>358</v>
      </c>
      <c r="AB82" s="263">
        <f>AB81/2</f>
        <v>184.39999999999998</v>
      </c>
      <c r="AC82" s="263">
        <f>AC81/3</f>
        <v>134</v>
      </c>
      <c r="AD82" s="263">
        <f>AD81/4</f>
        <v>108.8</v>
      </c>
      <c r="AE82" s="180" t="s">
        <v>15</v>
      </c>
      <c r="AF82" s="265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</row>
    <row r="83" spans="1:54" s="216" customFormat="1" ht="30" customHeight="1" thickBot="1" x14ac:dyDescent="0.3">
      <c r="A83" s="372"/>
      <c r="B83" s="509"/>
      <c r="C83" s="509"/>
      <c r="D83" s="509"/>
      <c r="E83" s="509"/>
      <c r="F83" s="451"/>
      <c r="G83" s="302"/>
      <c r="H83" s="372"/>
      <c r="I83" s="372"/>
      <c r="J83" s="372"/>
      <c r="K83" s="372"/>
      <c r="L83" s="372"/>
      <c r="M83" s="372"/>
      <c r="N83" s="372"/>
      <c r="O83" s="147"/>
      <c r="P83" s="147"/>
      <c r="Q83" s="147"/>
      <c r="R83" s="180"/>
      <c r="S83" s="225"/>
      <c r="T83" s="225"/>
      <c r="U83" s="225"/>
      <c r="V83" s="225"/>
      <c r="W83" s="186"/>
      <c r="X83" s="147"/>
      <c r="Y83" s="147"/>
      <c r="Z83" s="486"/>
      <c r="AA83" s="147"/>
      <c r="AB83" s="180"/>
      <c r="AC83" s="225"/>
      <c r="AD83" s="225"/>
      <c r="AE83" s="225"/>
      <c r="AF83" s="225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0"/>
      <c r="AT83" s="180"/>
      <c r="AU83" s="180"/>
      <c r="AV83" s="180"/>
      <c r="AW83" s="180"/>
      <c r="AX83" s="180"/>
      <c r="AY83" s="180"/>
      <c r="AZ83" s="180"/>
      <c r="BA83" s="180"/>
      <c r="BB83" s="180"/>
    </row>
    <row r="84" spans="1:54" s="216" customFormat="1" ht="12.9" customHeight="1" thickBot="1" x14ac:dyDescent="0.3">
      <c r="A84" s="147"/>
      <c r="B84" s="487" t="str">
        <f>$A$3</f>
        <v>NYS Association of Self Insured Counties</v>
      </c>
      <c r="C84" s="488"/>
      <c r="D84" s="488"/>
      <c r="E84" s="488"/>
      <c r="F84" s="452"/>
      <c r="G84" s="148"/>
      <c r="H84" s="147"/>
      <c r="I84" s="487" t="str">
        <f>$A$3</f>
        <v>NYS Association of Self Insured Counties</v>
      </c>
      <c r="J84" s="488"/>
      <c r="K84" s="488"/>
      <c r="L84" s="489"/>
      <c r="M84" s="147"/>
      <c r="N84" s="147"/>
      <c r="O84" s="147"/>
      <c r="P84" s="147"/>
      <c r="Q84" s="147"/>
      <c r="R84" s="180"/>
      <c r="S84" s="225"/>
      <c r="T84" s="225"/>
      <c r="U84" s="225"/>
      <c r="V84" s="225"/>
      <c r="W84" s="186"/>
      <c r="X84" s="147"/>
      <c r="Y84" s="147"/>
      <c r="Z84" s="147"/>
      <c r="AA84" s="147"/>
      <c r="AB84" s="180"/>
      <c r="AC84" s="225"/>
      <c r="AD84" s="225"/>
      <c r="AE84" s="225"/>
      <c r="AF84" s="225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0"/>
      <c r="AT84" s="180"/>
      <c r="AU84" s="180"/>
      <c r="AV84" s="180"/>
      <c r="AW84" s="180"/>
      <c r="AX84" s="180"/>
      <c r="AY84" s="180"/>
      <c r="AZ84" s="180"/>
      <c r="BA84" s="180"/>
      <c r="BB84" s="180"/>
    </row>
    <row r="85" spans="1:54" s="201" customFormat="1" ht="20.100000000000001" customHeight="1" thickBot="1" x14ac:dyDescent="0.3">
      <c r="A85" s="264" t="s">
        <v>75</v>
      </c>
      <c r="B85" s="227">
        <f>B3</f>
        <v>44475</v>
      </c>
      <c r="C85" s="228">
        <f>C3</f>
        <v>44476</v>
      </c>
      <c r="D85" s="228">
        <f>D3</f>
        <v>44477</v>
      </c>
      <c r="E85" s="309"/>
      <c r="F85" s="453"/>
      <c r="G85" s="148"/>
      <c r="H85" s="147"/>
      <c r="I85" s="227">
        <f>C3</f>
        <v>44476</v>
      </c>
      <c r="J85" s="228">
        <f>D3</f>
        <v>44477</v>
      </c>
      <c r="K85" s="228">
        <f>E3</f>
        <v>44478</v>
      </c>
      <c r="L85" s="229"/>
      <c r="M85" s="147"/>
      <c r="N85" s="230"/>
      <c r="O85" s="230"/>
      <c r="P85" s="484"/>
      <c r="Q85" s="484"/>
      <c r="R85" s="147"/>
      <c r="S85" s="147"/>
      <c r="T85" s="147"/>
      <c r="U85" s="147"/>
      <c r="V85" s="147"/>
      <c r="W85" s="149"/>
      <c r="X85" s="230"/>
      <c r="Y85" s="230"/>
      <c r="Z85" s="484"/>
      <c r="AA85" s="484"/>
      <c r="AB85" s="147"/>
      <c r="AC85" s="147"/>
      <c r="AD85" s="147"/>
      <c r="AE85" s="147"/>
      <c r="AF85" s="147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</row>
    <row r="86" spans="1:54" s="201" customFormat="1" x14ac:dyDescent="0.25">
      <c r="A86" s="147"/>
      <c r="B86" s="221" t="s">
        <v>0</v>
      </c>
      <c r="C86" s="221" t="s">
        <v>4</v>
      </c>
      <c r="D86" s="221" t="s">
        <v>2</v>
      </c>
      <c r="E86" s="221" t="s">
        <v>3</v>
      </c>
      <c r="F86" s="452"/>
      <c r="G86" s="148"/>
      <c r="H86" s="147"/>
      <c r="I86" s="253" t="s">
        <v>0</v>
      </c>
      <c r="J86" s="253" t="s">
        <v>1</v>
      </c>
      <c r="K86" s="253" t="s">
        <v>2</v>
      </c>
      <c r="L86" s="253" t="s">
        <v>3</v>
      </c>
      <c r="M86" s="147"/>
      <c r="N86" s="222"/>
      <c r="O86" s="222"/>
      <c r="P86" s="222"/>
      <c r="Q86" s="222"/>
      <c r="R86" s="147"/>
      <c r="S86" s="147"/>
      <c r="T86" s="147"/>
      <c r="U86" s="147"/>
      <c r="V86" s="147"/>
      <c r="W86" s="149"/>
      <c r="X86" s="222"/>
      <c r="Y86" s="222"/>
      <c r="Z86" s="222"/>
      <c r="AA86" s="222"/>
      <c r="AB86" s="147"/>
      <c r="AC86" s="147"/>
      <c r="AD86" s="147"/>
      <c r="AE86" s="147"/>
      <c r="AF86" s="147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</row>
    <row r="87" spans="1:54" s="201" customFormat="1" x14ac:dyDescent="0.25">
      <c r="A87" s="151" t="s">
        <v>68</v>
      </c>
      <c r="B87" s="204">
        <f>SUM($L$9)*3</f>
        <v>465</v>
      </c>
      <c r="C87" s="204">
        <f>SUM($L$10)*3</f>
        <v>465</v>
      </c>
      <c r="D87" s="204">
        <f>SUM($L$11)*3</f>
        <v>495</v>
      </c>
      <c r="E87" s="204">
        <f>SUM($L$12)*3</f>
        <v>525</v>
      </c>
      <c r="F87" s="454"/>
      <c r="G87" s="231"/>
      <c r="H87" s="147"/>
      <c r="I87" s="204">
        <f>SUM($L$9)*3</f>
        <v>465</v>
      </c>
      <c r="J87" s="204">
        <f>SUM($L$10)*3</f>
        <v>465</v>
      </c>
      <c r="K87" s="204">
        <f>SUM($L$11)*3</f>
        <v>495</v>
      </c>
      <c r="L87" s="204">
        <f>SUM($L$12)*3</f>
        <v>525</v>
      </c>
      <c r="M87" s="147"/>
      <c r="N87" s="231"/>
      <c r="O87" s="231"/>
      <c r="P87" s="231"/>
      <c r="Q87" s="231"/>
      <c r="R87" s="147"/>
      <c r="S87" s="223"/>
      <c r="T87" s="223"/>
      <c r="U87" s="223"/>
      <c r="V87" s="223"/>
      <c r="W87" s="149"/>
      <c r="X87" s="231"/>
      <c r="Y87" s="231"/>
      <c r="Z87" s="231"/>
      <c r="AA87" s="231"/>
      <c r="AB87" s="147"/>
      <c r="AC87" s="223"/>
      <c r="AD87" s="223"/>
      <c r="AE87" s="223"/>
      <c r="AF87" s="223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</row>
    <row r="88" spans="1:54" s="201" customFormat="1" x14ac:dyDescent="0.25">
      <c r="A88" s="151" t="s">
        <v>67</v>
      </c>
      <c r="B88" s="205">
        <f>SUM($L$15*3)+SUM($L$16*3*1)+$L$17+$L$18</f>
        <v>15</v>
      </c>
      <c r="C88" s="205">
        <f>SUM($L$15*3)+SUM($L$16*3*2)+$L$17+SUM($L$18*2)</f>
        <v>30</v>
      </c>
      <c r="D88" s="205">
        <f>SUM($L$15*3)+SUM($L$16*3*3)+$L$17+SUM($L$18*3)</f>
        <v>45</v>
      </c>
      <c r="E88" s="205">
        <f>SUM($L$15*3)+SUM($L$16*3*4)+$L$17+SUM($L$18*4)</f>
        <v>60</v>
      </c>
      <c r="F88" s="455"/>
      <c r="G88" s="232"/>
      <c r="H88" s="147"/>
      <c r="I88" s="254">
        <f>SUM($L$15*3)+SUM($L$16*3*1)+$L$17+$L$18</f>
        <v>15</v>
      </c>
      <c r="J88" s="254">
        <f>SUM($L$15*3)+SUM($L$16*3*2)+$L$17+SUM($L$18*2)</f>
        <v>30</v>
      </c>
      <c r="K88" s="254">
        <f>SUM($L$15*3)+SUM($L$16*3*3)+$L$17+SUM($L$18*3)</f>
        <v>45</v>
      </c>
      <c r="L88" s="254">
        <f>SUM($L$15*3)+SUM($L$16*3*4)+$L$17+SUM($L$18*4)</f>
        <v>60</v>
      </c>
      <c r="M88" s="147"/>
      <c r="N88" s="232"/>
      <c r="O88" s="232"/>
      <c r="P88" s="232"/>
      <c r="Q88" s="232"/>
      <c r="R88" s="147"/>
      <c r="S88" s="223"/>
      <c r="T88" s="224"/>
      <c r="U88" s="224"/>
      <c r="V88" s="224"/>
      <c r="W88" s="149"/>
      <c r="X88" s="232"/>
      <c r="Y88" s="232"/>
      <c r="Z88" s="232"/>
      <c r="AA88" s="232"/>
      <c r="AB88" s="147"/>
      <c r="AC88" s="223"/>
      <c r="AD88" s="224"/>
      <c r="AE88" s="224"/>
      <c r="AF88" s="224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</row>
    <row r="89" spans="1:54" s="201" customFormat="1" x14ac:dyDescent="0.25">
      <c r="A89" s="157" t="s">
        <v>64</v>
      </c>
      <c r="B89" s="207">
        <f>B27+C27+D27</f>
        <v>107.2</v>
      </c>
      <c r="C89" s="207">
        <f>B89*2</f>
        <v>214.4</v>
      </c>
      <c r="D89" s="207">
        <f>B89*3</f>
        <v>321.60000000000002</v>
      </c>
      <c r="E89" s="207">
        <f>B89*4</f>
        <v>428.8</v>
      </c>
      <c r="F89" s="455"/>
      <c r="G89" s="232"/>
      <c r="H89" s="149"/>
      <c r="I89" s="206">
        <f>C27+D27+E27</f>
        <v>52.75</v>
      </c>
      <c r="J89" s="206">
        <f>I89*2</f>
        <v>105.5</v>
      </c>
      <c r="K89" s="206">
        <f>I89*3</f>
        <v>158.25</v>
      </c>
      <c r="L89" s="206">
        <f>I89*4</f>
        <v>211</v>
      </c>
      <c r="M89" s="149"/>
      <c r="N89" s="232"/>
      <c r="O89" s="232"/>
      <c r="P89" s="232"/>
      <c r="Q89" s="232"/>
      <c r="R89" s="147"/>
      <c r="S89" s="223"/>
      <c r="T89" s="223"/>
      <c r="U89" s="223"/>
      <c r="V89" s="223"/>
      <c r="W89" s="149"/>
      <c r="X89" s="232"/>
      <c r="Y89" s="232"/>
      <c r="Z89" s="232"/>
      <c r="AA89" s="232"/>
      <c r="AB89" s="147"/>
      <c r="AC89" s="223"/>
      <c r="AD89" s="223"/>
      <c r="AE89" s="223"/>
      <c r="AF89" s="223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</row>
    <row r="90" spans="1:54" s="216" customFormat="1" x14ac:dyDescent="0.25">
      <c r="A90" s="157" t="s">
        <v>69</v>
      </c>
      <c r="B90" s="208">
        <f>B28+C28+D28</f>
        <v>21.44</v>
      </c>
      <c r="C90" s="208">
        <f>B90*2</f>
        <v>42.88</v>
      </c>
      <c r="D90" s="208">
        <f>B90*3</f>
        <v>64.320000000000007</v>
      </c>
      <c r="E90" s="208">
        <f>B90*4</f>
        <v>85.76</v>
      </c>
      <c r="F90" s="455"/>
      <c r="G90" s="232"/>
      <c r="H90" s="147"/>
      <c r="I90" s="255">
        <f>C28+D28+E28</f>
        <v>10.55</v>
      </c>
      <c r="J90" s="255">
        <f>I90*2</f>
        <v>21.1</v>
      </c>
      <c r="K90" s="255">
        <f>I90*3</f>
        <v>31.650000000000002</v>
      </c>
      <c r="L90" s="255">
        <f>I90*4</f>
        <v>42.2</v>
      </c>
      <c r="M90" s="147"/>
      <c r="N90" s="232"/>
      <c r="O90" s="232"/>
      <c r="P90" s="232"/>
      <c r="Q90" s="232"/>
      <c r="R90" s="180"/>
      <c r="S90" s="225"/>
      <c r="T90" s="225"/>
      <c r="U90" s="225"/>
      <c r="V90" s="225"/>
      <c r="W90" s="186"/>
      <c r="X90" s="232"/>
      <c r="Y90" s="232"/>
      <c r="Z90" s="232"/>
      <c r="AA90" s="232"/>
      <c r="AB90" s="180"/>
      <c r="AC90" s="225"/>
      <c r="AD90" s="225"/>
      <c r="AE90" s="225"/>
      <c r="AF90" s="225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86"/>
      <c r="AR90" s="186"/>
      <c r="AS90" s="180"/>
      <c r="AT90" s="180"/>
      <c r="AU90" s="180"/>
      <c r="AV90" s="180"/>
      <c r="AW90" s="180"/>
      <c r="AX90" s="180"/>
      <c r="AY90" s="180"/>
      <c r="AZ90" s="180"/>
      <c r="BA90" s="180"/>
      <c r="BB90" s="180"/>
    </row>
    <row r="91" spans="1:54" s="201" customFormat="1" x14ac:dyDescent="0.25">
      <c r="A91" s="209" t="s">
        <v>42</v>
      </c>
      <c r="B91" s="210">
        <f>SUM(B87:B90)</f>
        <v>608.6400000000001</v>
      </c>
      <c r="C91" s="210">
        <f>SUM(C87:C90)</f>
        <v>752.28</v>
      </c>
      <c r="D91" s="210">
        <f>SUM(D87:D90)</f>
        <v>925.92000000000007</v>
      </c>
      <c r="E91" s="210">
        <f>SUM(E87:E90)</f>
        <v>1099.56</v>
      </c>
      <c r="F91" s="371"/>
      <c r="G91" s="217"/>
      <c r="H91" s="147"/>
      <c r="I91" s="210">
        <f>SUM(I87:I90)</f>
        <v>543.29999999999995</v>
      </c>
      <c r="J91" s="210">
        <f>SUM(J87:J90)</f>
        <v>621.6</v>
      </c>
      <c r="K91" s="210">
        <f>SUM(K87:K90)</f>
        <v>729.9</v>
      </c>
      <c r="L91" s="210">
        <f>SUM(L87:L90)</f>
        <v>838.2</v>
      </c>
      <c r="M91" s="147"/>
      <c r="N91" s="217"/>
      <c r="O91" s="217"/>
      <c r="P91" s="217"/>
      <c r="Q91" s="217"/>
      <c r="R91" s="147"/>
      <c r="S91" s="223"/>
      <c r="T91" s="223"/>
      <c r="U91" s="223"/>
      <c r="V91" s="223"/>
      <c r="W91" s="149"/>
      <c r="X91" s="217"/>
      <c r="Y91" s="217"/>
      <c r="Z91" s="217"/>
      <c r="AA91" s="217"/>
      <c r="AB91" s="147"/>
      <c r="AC91" s="223"/>
      <c r="AD91" s="223"/>
      <c r="AE91" s="223"/>
      <c r="AF91" s="223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</row>
    <row r="92" spans="1:54" s="201" customFormat="1" ht="15" customHeight="1" x14ac:dyDescent="0.25">
      <c r="A92" s="212" t="s">
        <v>84</v>
      </c>
      <c r="B92" s="234">
        <f>B91/1</f>
        <v>608.6400000000001</v>
      </c>
      <c r="C92" s="234">
        <f>C91/2</f>
        <v>376.14</v>
      </c>
      <c r="D92" s="234">
        <f>D91/3</f>
        <v>308.64000000000004</v>
      </c>
      <c r="E92" s="234">
        <f>E91/4</f>
        <v>274.89</v>
      </c>
      <c r="F92" s="456" t="s">
        <v>15</v>
      </c>
      <c r="G92" s="217"/>
      <c r="H92" s="215"/>
      <c r="I92" s="234">
        <f>I91/1</f>
        <v>543.29999999999995</v>
      </c>
      <c r="J92" s="235">
        <f>J91/2</f>
        <v>310.8</v>
      </c>
      <c r="K92" s="235">
        <f>K91/3</f>
        <v>243.29999999999998</v>
      </c>
      <c r="L92" s="235">
        <f>L91/4</f>
        <v>209.55</v>
      </c>
      <c r="M92" s="186" t="s">
        <v>15</v>
      </c>
      <c r="N92" s="217"/>
      <c r="O92" s="217"/>
      <c r="P92" s="217"/>
      <c r="Q92" s="217"/>
      <c r="R92" s="147"/>
      <c r="S92" s="478"/>
      <c r="T92" s="478"/>
      <c r="U92" s="477"/>
      <c r="V92" s="477"/>
      <c r="W92" s="149"/>
      <c r="X92" s="217"/>
      <c r="Y92" s="217"/>
      <c r="Z92" s="217"/>
      <c r="AA92" s="217"/>
      <c r="AB92" s="147"/>
      <c r="AC92" s="478"/>
      <c r="AD92" s="478"/>
      <c r="AE92" s="477"/>
      <c r="AF92" s="477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</row>
    <row r="93" spans="1:54" s="201" customFormat="1" x14ac:dyDescent="0.25">
      <c r="A93" s="151" t="s">
        <v>70</v>
      </c>
      <c r="B93" s="205">
        <f>SUM(B87*$L$5)+SUM($B$30*1)+SUM($C$30*1)+SUM($D$30*1)+SUM(B88*$L$5)</f>
        <v>47.404800000000002</v>
      </c>
      <c r="C93" s="205">
        <f>SUM(C87*$L$5)+SUM($B$30*2)+SUM($C$30*2)+SUM(D$30*2)+SUM(C88*$L$5)</f>
        <v>57.609600000000007</v>
      </c>
      <c r="D93" s="205">
        <f>SUM(D87*$L$5)+SUM($B$30*3)+SUM($C$30*3)+SUM($D$30*3)+SUM(D88*$L$5)</f>
        <v>70.214399999999998</v>
      </c>
      <c r="E93" s="205">
        <f>SUM(E87*$L$5)+SUM($B$30*4)+SUM($C$30*4)+SUM($D$30*4)+SUM(E88*$L$5)</f>
        <v>82.819200000000009</v>
      </c>
      <c r="F93" s="457"/>
      <c r="G93" s="232"/>
      <c r="H93" s="147"/>
      <c r="I93" s="254">
        <f>SUM(I87*$L$5)+SUM($C$30*1)+SUM($D$30*1)+SUM($E$30*1)+SUM(I88*$L$5)</f>
        <v>42.831000000000003</v>
      </c>
      <c r="J93" s="254">
        <f>SUM(J87*$L$5)+SUM($C$30*2)+SUM($D$30*2)+SUM(E$30*2)+SUM(J88*$L$5)</f>
        <v>48.462000000000003</v>
      </c>
      <c r="K93" s="254">
        <f>SUM(K87*$L$5)+SUM($C$30*3)+SUM($D$30*3)+SUM($E$30*3)+SUM(K88*$L$5)</f>
        <v>56.493000000000002</v>
      </c>
      <c r="L93" s="254">
        <f>SUM(L87*$L$5)+SUM($C$30*4)+SUM($D$30*4)+SUM($E$30*4)+SUM(L88*$L$5)</f>
        <v>64.524000000000001</v>
      </c>
      <c r="M93" s="147"/>
      <c r="N93" s="232"/>
      <c r="O93" s="232"/>
      <c r="P93" s="232"/>
      <c r="Q93" s="232"/>
      <c r="R93" s="147"/>
      <c r="S93" s="223"/>
      <c r="T93" s="223"/>
      <c r="U93" s="223"/>
      <c r="V93" s="223"/>
      <c r="W93" s="149"/>
      <c r="X93" s="232"/>
      <c r="Y93" s="232"/>
      <c r="Z93" s="232"/>
      <c r="AA93" s="232"/>
      <c r="AB93" s="147"/>
      <c r="AC93" s="223"/>
      <c r="AD93" s="223"/>
      <c r="AE93" s="223"/>
      <c r="AF93" s="223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</row>
    <row r="94" spans="1:54" s="216" customFormat="1" ht="13.8" thickBot="1" x14ac:dyDescent="0.3">
      <c r="A94" s="151" t="s">
        <v>71</v>
      </c>
      <c r="B94" s="211">
        <f>B87*$L$6</f>
        <v>18.600000000000001</v>
      </c>
      <c r="C94" s="211">
        <f>C87*$L$6</f>
        <v>18.600000000000001</v>
      </c>
      <c r="D94" s="211">
        <f>D87*$L$6</f>
        <v>19.8</v>
      </c>
      <c r="E94" s="211">
        <f>E87*$L$6</f>
        <v>21</v>
      </c>
      <c r="F94" s="457"/>
      <c r="G94" s="232"/>
      <c r="H94" s="147"/>
      <c r="I94" s="256">
        <f>I87*$L$6</f>
        <v>18.600000000000001</v>
      </c>
      <c r="J94" s="256">
        <f>J87*$L$6</f>
        <v>18.600000000000001</v>
      </c>
      <c r="K94" s="256">
        <f>K87*$L$6</f>
        <v>19.8</v>
      </c>
      <c r="L94" s="256">
        <f>L87*$L$6</f>
        <v>21</v>
      </c>
      <c r="M94" s="147"/>
      <c r="N94" s="232"/>
      <c r="O94" s="232"/>
      <c r="P94" s="232"/>
      <c r="Q94" s="232"/>
      <c r="R94" s="180"/>
      <c r="S94" s="225"/>
      <c r="T94" s="225"/>
      <c r="U94" s="225"/>
      <c r="V94" s="225"/>
      <c r="W94" s="186"/>
      <c r="X94" s="232"/>
      <c r="Y94" s="232"/>
      <c r="Z94" s="232"/>
      <c r="AA94" s="232"/>
      <c r="AB94" s="180"/>
      <c r="AC94" s="225"/>
      <c r="AD94" s="225"/>
      <c r="AE94" s="225"/>
      <c r="AF94" s="225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0"/>
      <c r="AT94" s="180"/>
      <c r="AU94" s="180"/>
      <c r="AV94" s="180"/>
      <c r="AW94" s="180"/>
      <c r="AX94" s="180"/>
      <c r="AY94" s="180"/>
      <c r="AZ94" s="180"/>
      <c r="BA94" s="180"/>
      <c r="BB94" s="180"/>
    </row>
    <row r="95" spans="1:54" s="201" customFormat="1" ht="15" customHeight="1" thickTop="1" x14ac:dyDescent="0.25">
      <c r="A95" s="212" t="s">
        <v>73</v>
      </c>
      <c r="B95" s="233">
        <f>+B91+B93+B94</f>
        <v>674.64480000000015</v>
      </c>
      <c r="C95" s="233">
        <f>+C91+C93+C94</f>
        <v>828.4896</v>
      </c>
      <c r="D95" s="233">
        <f>+D91+D93+D94</f>
        <v>1015.9344</v>
      </c>
      <c r="E95" s="233">
        <f>+E91+E93+E94</f>
        <v>1203.3791999999999</v>
      </c>
      <c r="F95" s="456"/>
      <c r="G95" s="217"/>
      <c r="H95" s="215"/>
      <c r="I95" s="251">
        <f>SUM(I91+I93+I94)</f>
        <v>604.73099999999999</v>
      </c>
      <c r="J95" s="251">
        <f>SUM(J91+J93+J94)</f>
        <v>688.66200000000003</v>
      </c>
      <c r="K95" s="251">
        <f>SUM(K91+K93+K94)</f>
        <v>806.19299999999998</v>
      </c>
      <c r="L95" s="251">
        <f>SUM(L91+L93+L94)</f>
        <v>923.72400000000005</v>
      </c>
      <c r="M95" s="185"/>
      <c r="N95" s="217"/>
      <c r="O95" s="217"/>
      <c r="P95" s="217"/>
      <c r="Q95" s="217"/>
      <c r="R95" s="147"/>
      <c r="S95" s="147"/>
      <c r="T95" s="147"/>
      <c r="U95" s="147"/>
      <c r="V95" s="147"/>
      <c r="W95" s="149"/>
      <c r="X95" s="217"/>
      <c r="Y95" s="217"/>
      <c r="Z95" s="217"/>
      <c r="AA95" s="217"/>
      <c r="AB95" s="147"/>
      <c r="AC95" s="147"/>
      <c r="AD95" s="147"/>
      <c r="AE95" s="147"/>
      <c r="AF95" s="147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</row>
    <row r="96" spans="1:54" s="201" customFormat="1" ht="15" customHeight="1" x14ac:dyDescent="0.25">
      <c r="A96" s="212" t="s">
        <v>72</v>
      </c>
      <c r="B96" s="234">
        <f>B95/1</f>
        <v>674.64480000000015</v>
      </c>
      <c r="C96" s="234">
        <f>C95/2</f>
        <v>414.2448</v>
      </c>
      <c r="D96" s="234">
        <f>D95/3</f>
        <v>338.64479999999998</v>
      </c>
      <c r="E96" s="234">
        <f>E95/4</f>
        <v>300.84479999999996</v>
      </c>
      <c r="F96" s="456" t="s">
        <v>15</v>
      </c>
      <c r="G96" s="217"/>
      <c r="H96" s="215"/>
      <c r="I96" s="234">
        <f>I95/1</f>
        <v>604.73099999999999</v>
      </c>
      <c r="J96" s="235">
        <f>J95/2</f>
        <v>344.33100000000002</v>
      </c>
      <c r="K96" s="235">
        <f>K95/3</f>
        <v>268.73099999999999</v>
      </c>
      <c r="L96" s="235">
        <f>L95/4</f>
        <v>230.93100000000001</v>
      </c>
      <c r="M96" s="186" t="s">
        <v>15</v>
      </c>
      <c r="N96" s="217"/>
      <c r="O96" s="217"/>
      <c r="P96" s="217"/>
      <c r="Q96" s="217"/>
      <c r="R96" s="147"/>
      <c r="S96" s="478"/>
      <c r="T96" s="478"/>
      <c r="U96" s="477"/>
      <c r="V96" s="477"/>
      <c r="W96" s="149"/>
      <c r="X96" s="217"/>
      <c r="Y96" s="217"/>
      <c r="Z96" s="217"/>
      <c r="AA96" s="217"/>
      <c r="AB96" s="147"/>
      <c r="AC96" s="478"/>
      <c r="AD96" s="478"/>
      <c r="AE96" s="477"/>
      <c r="AF96" s="477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</row>
    <row r="97" spans="1:54" s="216" customFormat="1" ht="30" customHeight="1" thickBot="1" x14ac:dyDescent="0.3">
      <c r="A97" s="372"/>
      <c r="B97" s="372"/>
      <c r="C97" s="372"/>
      <c r="D97" s="372"/>
      <c r="E97" s="372"/>
      <c r="F97" s="457"/>
      <c r="G97" s="149"/>
      <c r="H97" s="147"/>
      <c r="I97" s="147"/>
      <c r="J97" s="147"/>
      <c r="K97" s="147"/>
      <c r="L97" s="147"/>
      <c r="M97" s="147"/>
      <c r="N97" s="149"/>
      <c r="O97" s="149"/>
      <c r="P97" s="149"/>
      <c r="Q97" s="149"/>
      <c r="R97" s="180"/>
      <c r="S97" s="180"/>
      <c r="T97" s="180"/>
      <c r="U97" s="180"/>
      <c r="V97" s="180"/>
      <c r="W97" s="186"/>
      <c r="X97" s="149"/>
      <c r="Y97" s="149"/>
      <c r="Z97" s="149"/>
      <c r="AA97" s="149"/>
      <c r="AB97" s="180"/>
      <c r="AC97" s="180"/>
      <c r="AD97" s="180"/>
      <c r="AE97" s="180"/>
      <c r="AF97" s="180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0"/>
      <c r="AT97" s="180"/>
      <c r="AU97" s="180"/>
      <c r="AV97" s="180"/>
      <c r="AW97" s="180"/>
      <c r="AX97" s="180"/>
      <c r="AY97" s="180"/>
      <c r="AZ97" s="180"/>
      <c r="BA97" s="180"/>
      <c r="BB97" s="180"/>
    </row>
    <row r="98" spans="1:54" s="216" customFormat="1" ht="12.9" customHeight="1" thickBot="1" x14ac:dyDescent="0.3">
      <c r="A98" s="147"/>
      <c r="B98" s="479" t="str">
        <f>$A$3</f>
        <v>NYS Association of Self Insured Counties</v>
      </c>
      <c r="C98" s="480"/>
      <c r="D98" s="480"/>
      <c r="E98" s="480"/>
      <c r="F98" s="148"/>
      <c r="G98" s="148"/>
      <c r="H98" s="147"/>
      <c r="I98" s="147"/>
      <c r="J98" s="147"/>
      <c r="K98" s="147"/>
      <c r="L98" s="147"/>
      <c r="M98" s="147"/>
      <c r="N98" s="149"/>
      <c r="O98" s="149"/>
      <c r="P98" s="149"/>
      <c r="Q98" s="149"/>
      <c r="R98" s="180"/>
      <c r="S98" s="180"/>
      <c r="T98" s="180"/>
      <c r="U98" s="180"/>
      <c r="V98" s="180"/>
      <c r="W98" s="186"/>
      <c r="X98" s="149"/>
      <c r="Y98" s="149"/>
      <c r="Z98" s="149"/>
      <c r="AA98" s="149"/>
      <c r="AB98" s="180"/>
      <c r="AC98" s="180"/>
      <c r="AD98" s="180"/>
      <c r="AE98" s="180"/>
      <c r="AF98" s="180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0"/>
      <c r="AT98" s="180"/>
      <c r="AU98" s="180"/>
      <c r="AV98" s="180"/>
      <c r="AW98" s="180"/>
      <c r="AX98" s="180"/>
      <c r="AY98" s="180"/>
      <c r="AZ98" s="180"/>
      <c r="BA98" s="180"/>
      <c r="BB98" s="180"/>
    </row>
    <row r="99" spans="1:54" s="216" customFormat="1" ht="20.100000000000001" customHeight="1" thickBot="1" x14ac:dyDescent="0.3">
      <c r="A99" s="264" t="s">
        <v>76</v>
      </c>
      <c r="B99" s="236">
        <f>B3</f>
        <v>44475</v>
      </c>
      <c r="C99" s="237">
        <f>C3</f>
        <v>44476</v>
      </c>
      <c r="D99" s="237">
        <f>D3</f>
        <v>44477</v>
      </c>
      <c r="E99" s="237">
        <f>E3</f>
        <v>44478</v>
      </c>
      <c r="F99" s="312"/>
      <c r="G99" s="312"/>
      <c r="H99" s="149"/>
      <c r="I99" s="147"/>
      <c r="J99" s="147"/>
      <c r="K99" s="147"/>
      <c r="L99" s="147"/>
      <c r="M99" s="147"/>
      <c r="N99" s="149"/>
      <c r="O99" s="149"/>
      <c r="P99" s="149"/>
      <c r="Q99" s="149"/>
      <c r="R99" s="186"/>
      <c r="S99" s="186"/>
      <c r="T99" s="186"/>
      <c r="U99" s="186"/>
      <c r="V99" s="186"/>
      <c r="W99" s="186"/>
      <c r="X99" s="149"/>
      <c r="Y99" s="149"/>
      <c r="Z99" s="149"/>
      <c r="AA99" s="149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0"/>
      <c r="AT99" s="180"/>
      <c r="AU99" s="180"/>
      <c r="AV99" s="180"/>
      <c r="AW99" s="180"/>
      <c r="AX99" s="180"/>
      <c r="AY99" s="180"/>
      <c r="AZ99" s="180"/>
      <c r="BA99" s="180"/>
      <c r="BB99" s="180"/>
    </row>
    <row r="100" spans="1:54" x14ac:dyDescent="0.25">
      <c r="B100" s="221" t="s">
        <v>0</v>
      </c>
      <c r="C100" s="221" t="s">
        <v>4</v>
      </c>
      <c r="D100" s="221" t="s">
        <v>2</v>
      </c>
      <c r="E100" s="221" t="s">
        <v>3</v>
      </c>
      <c r="F100" s="148"/>
      <c r="G100" s="148"/>
      <c r="N100" s="149"/>
      <c r="O100" s="149"/>
      <c r="P100" s="149"/>
      <c r="Q100" s="149"/>
      <c r="W100" s="149"/>
      <c r="X100" s="149"/>
      <c r="Y100" s="149"/>
      <c r="Z100" s="149"/>
      <c r="AA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</row>
    <row r="101" spans="1:54" s="201" customFormat="1" x14ac:dyDescent="0.25">
      <c r="A101" s="151" t="s">
        <v>68</v>
      </c>
      <c r="B101" s="204">
        <f>SUM($L$9)*4</f>
        <v>620</v>
      </c>
      <c r="C101" s="204">
        <f>SUM($L$10)*4</f>
        <v>620</v>
      </c>
      <c r="D101" s="204">
        <f>SUM($L$11)*4</f>
        <v>660</v>
      </c>
      <c r="E101" s="204">
        <f>SUM($L$12)*4</f>
        <v>700</v>
      </c>
      <c r="F101" s="231"/>
      <c r="G101" s="231"/>
      <c r="H101" s="147"/>
      <c r="I101" s="231"/>
      <c r="J101" s="231"/>
      <c r="K101" s="231"/>
      <c r="L101" s="231"/>
      <c r="M101" s="149"/>
      <c r="N101" s="231"/>
      <c r="O101" s="231"/>
      <c r="P101" s="231"/>
      <c r="Q101" s="231"/>
      <c r="R101" s="147"/>
      <c r="S101" s="223"/>
      <c r="T101" s="223"/>
      <c r="U101" s="223"/>
      <c r="V101" s="223"/>
      <c r="W101" s="149"/>
      <c r="X101" s="231"/>
      <c r="Y101" s="231"/>
      <c r="Z101" s="231"/>
      <c r="AA101" s="231"/>
      <c r="AB101" s="147"/>
      <c r="AC101" s="223"/>
      <c r="AD101" s="223"/>
      <c r="AE101" s="223"/>
      <c r="AF101" s="223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</row>
    <row r="102" spans="1:54" s="201" customFormat="1" x14ac:dyDescent="0.25">
      <c r="A102" s="151" t="s">
        <v>67</v>
      </c>
      <c r="B102" s="205">
        <f>SUM($L$15*4)+SUM($L$16*4*1)+$L$17+$L$18</f>
        <v>20</v>
      </c>
      <c r="C102" s="205">
        <f>SUM($L$15*4)+SUM($L$16*4*2)+$L$17+SUM($L$18*2)</f>
        <v>40</v>
      </c>
      <c r="D102" s="205">
        <f>SUM($L$15*4)+SUM($L$16*4*3)+$L$17+SUM($L$18*3)</f>
        <v>60</v>
      </c>
      <c r="E102" s="205">
        <f>SUM($L$15*4)+SUM($L$16*4*4)+$L$17+SUM($L$18*4)</f>
        <v>80</v>
      </c>
      <c r="F102" s="232"/>
      <c r="G102" s="232"/>
      <c r="H102" s="147"/>
      <c r="I102" s="232"/>
      <c r="J102" s="232"/>
      <c r="K102" s="232"/>
      <c r="L102" s="232"/>
      <c r="M102" s="149"/>
      <c r="N102" s="232"/>
      <c r="O102" s="232"/>
      <c r="P102" s="232"/>
      <c r="Q102" s="232"/>
      <c r="R102" s="147"/>
      <c r="S102" s="223"/>
      <c r="T102" s="224"/>
      <c r="U102" s="224"/>
      <c r="V102" s="224"/>
      <c r="W102" s="149"/>
      <c r="X102" s="232"/>
      <c r="Y102" s="232"/>
      <c r="Z102" s="232"/>
      <c r="AA102" s="232"/>
      <c r="AB102" s="147"/>
      <c r="AC102" s="223"/>
      <c r="AD102" s="224"/>
      <c r="AE102" s="224"/>
      <c r="AF102" s="224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</row>
    <row r="103" spans="1:54" s="201" customFormat="1" x14ac:dyDescent="0.25">
      <c r="A103" s="157" t="s">
        <v>64</v>
      </c>
      <c r="B103" s="207">
        <f>B27+C27+D27+E27</f>
        <v>107.2</v>
      </c>
      <c r="C103" s="207">
        <f>B103*2</f>
        <v>214.4</v>
      </c>
      <c r="D103" s="207">
        <f>B103*3</f>
        <v>321.60000000000002</v>
      </c>
      <c r="E103" s="207">
        <f>B103*4</f>
        <v>428.8</v>
      </c>
      <c r="F103" s="232"/>
      <c r="G103" s="232"/>
      <c r="H103" s="149"/>
      <c r="I103" s="232"/>
      <c r="J103" s="232"/>
      <c r="K103" s="232"/>
      <c r="L103" s="232"/>
      <c r="M103" s="149"/>
      <c r="N103" s="232"/>
      <c r="O103" s="232"/>
      <c r="P103" s="232"/>
      <c r="Q103" s="232"/>
      <c r="R103" s="147"/>
      <c r="S103" s="223"/>
      <c r="T103" s="223"/>
      <c r="U103" s="223"/>
      <c r="V103" s="223"/>
      <c r="W103" s="149"/>
      <c r="X103" s="232"/>
      <c r="Y103" s="232"/>
      <c r="Z103" s="232"/>
      <c r="AA103" s="232"/>
      <c r="AB103" s="147"/>
      <c r="AC103" s="223"/>
      <c r="AD103" s="223"/>
      <c r="AE103" s="223"/>
      <c r="AF103" s="223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</row>
    <row r="104" spans="1:54" s="216" customFormat="1" x14ac:dyDescent="0.25">
      <c r="A104" s="157" t="s">
        <v>69</v>
      </c>
      <c r="B104" s="208">
        <f>B28+C28+D28+E28</f>
        <v>21.44</v>
      </c>
      <c r="C104" s="208">
        <f>B104*2</f>
        <v>42.88</v>
      </c>
      <c r="D104" s="208">
        <f>B104*3</f>
        <v>64.320000000000007</v>
      </c>
      <c r="E104" s="208">
        <f>B104*4</f>
        <v>85.76</v>
      </c>
      <c r="F104" s="232"/>
      <c r="G104" s="232"/>
      <c r="H104" s="147"/>
      <c r="I104" s="232"/>
      <c r="J104" s="232"/>
      <c r="K104" s="232"/>
      <c r="L104" s="232"/>
      <c r="M104" s="149"/>
      <c r="N104" s="232"/>
      <c r="O104" s="232"/>
      <c r="P104" s="232"/>
      <c r="Q104" s="232"/>
      <c r="R104" s="180"/>
      <c r="S104" s="225"/>
      <c r="T104" s="225"/>
      <c r="U104" s="225"/>
      <c r="V104" s="225"/>
      <c r="W104" s="186"/>
      <c r="X104" s="232"/>
      <c r="Y104" s="232"/>
      <c r="Z104" s="232"/>
      <c r="AA104" s="232"/>
      <c r="AB104" s="180"/>
      <c r="AC104" s="225"/>
      <c r="AD104" s="225"/>
      <c r="AE104" s="225"/>
      <c r="AF104" s="225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0"/>
      <c r="AT104" s="180"/>
      <c r="AU104" s="180"/>
      <c r="AV104" s="180"/>
      <c r="AW104" s="180"/>
      <c r="AX104" s="180"/>
      <c r="AY104" s="180"/>
      <c r="AZ104" s="180"/>
      <c r="BA104" s="180"/>
      <c r="BB104" s="180"/>
    </row>
    <row r="105" spans="1:54" s="201" customFormat="1" x14ac:dyDescent="0.25">
      <c r="A105" s="209" t="s">
        <v>42</v>
      </c>
      <c r="B105" s="210">
        <f>SUM(B101:B104)</f>
        <v>768.6400000000001</v>
      </c>
      <c r="C105" s="210">
        <f>SUM(C101:C104)</f>
        <v>917.28</v>
      </c>
      <c r="D105" s="210">
        <f>SUM(D101:D104)</f>
        <v>1105.9199999999998</v>
      </c>
      <c r="E105" s="210">
        <f>SUM(E101:E104)</f>
        <v>1294.56</v>
      </c>
      <c r="F105" s="217"/>
      <c r="G105" s="217"/>
      <c r="H105" s="147"/>
      <c r="I105" s="217"/>
      <c r="J105" s="217"/>
      <c r="K105" s="217"/>
      <c r="L105" s="217"/>
      <c r="M105" s="149"/>
      <c r="N105" s="217"/>
      <c r="O105" s="217"/>
      <c r="P105" s="217"/>
      <c r="Q105" s="217"/>
      <c r="R105" s="147"/>
      <c r="S105" s="223"/>
      <c r="T105" s="223"/>
      <c r="U105" s="223"/>
      <c r="V105" s="223"/>
      <c r="W105" s="149"/>
      <c r="X105" s="217"/>
      <c r="Y105" s="217"/>
      <c r="Z105" s="217"/>
      <c r="AA105" s="217"/>
      <c r="AB105" s="147"/>
      <c r="AC105" s="223"/>
      <c r="AD105" s="223"/>
      <c r="AE105" s="223"/>
      <c r="AF105" s="223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</row>
    <row r="106" spans="1:54" s="201" customFormat="1" ht="15" customHeight="1" x14ac:dyDescent="0.25">
      <c r="A106" s="212" t="s">
        <v>84</v>
      </c>
      <c r="B106" s="238">
        <f>B105/1</f>
        <v>768.6400000000001</v>
      </c>
      <c r="C106" s="239">
        <f>C105/2</f>
        <v>458.64</v>
      </c>
      <c r="D106" s="239">
        <f>D105/3</f>
        <v>368.63999999999993</v>
      </c>
      <c r="E106" s="310">
        <f>E105/4</f>
        <v>323.64</v>
      </c>
      <c r="F106" s="186" t="s">
        <v>15</v>
      </c>
      <c r="G106" s="217"/>
      <c r="H106" s="186"/>
      <c r="I106" s="217"/>
      <c r="J106" s="217"/>
      <c r="K106" s="217"/>
      <c r="L106" s="217"/>
      <c r="M106" s="186"/>
      <c r="N106" s="217"/>
      <c r="O106" s="217"/>
      <c r="P106" s="217"/>
      <c r="Q106" s="217"/>
      <c r="R106" s="147"/>
      <c r="S106" s="478"/>
      <c r="T106" s="478"/>
      <c r="U106" s="477"/>
      <c r="V106" s="477"/>
      <c r="W106" s="149"/>
      <c r="X106" s="217"/>
      <c r="Y106" s="217"/>
      <c r="Z106" s="217"/>
      <c r="AA106" s="217"/>
      <c r="AB106" s="147"/>
      <c r="AC106" s="478"/>
      <c r="AD106" s="478"/>
      <c r="AE106" s="477"/>
      <c r="AF106" s="477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</row>
    <row r="107" spans="1:54" s="201" customFormat="1" x14ac:dyDescent="0.25">
      <c r="A107" s="151" t="s">
        <v>70</v>
      </c>
      <c r="B107" s="205">
        <f>SUM(B101*$L$5)+SUM($B$30*1)+SUM($C$30*1)+SUM($D$30*1)+SUM($E$30*1)+SUM(B102*$L$5)</f>
        <v>60.204799999999999</v>
      </c>
      <c r="C107" s="205">
        <f>SUM(C101*$L$5)+SUM($B$30*2)+SUM($C$30*2)+SUM($D$30*2)+SUM($E$30*2)+SUM(C102*$L$5)</f>
        <v>70.809600000000003</v>
      </c>
      <c r="D107" s="205">
        <f>SUM(D101*$L$5)+SUM($B$30*3)+SUM($C$30*3)+SUM($D$30*3)+SUM($E$30*3)+SUM(D102*$L$5)</f>
        <v>84.614400000000003</v>
      </c>
      <c r="E107" s="205">
        <f>SUM(E101*$L$5)+SUM($B$30*4)+SUM($C$30*4)+SUM($D$30*4)+SUM($E$30*4)+SUM(E102*$L$5)</f>
        <v>98.419200000000018</v>
      </c>
      <c r="F107" s="149"/>
      <c r="G107" s="232"/>
      <c r="H107" s="147"/>
      <c r="I107" s="232"/>
      <c r="J107" s="232"/>
      <c r="K107" s="232"/>
      <c r="L107" s="232"/>
      <c r="M107" s="149"/>
      <c r="N107" s="232"/>
      <c r="O107" s="232"/>
      <c r="P107" s="232"/>
      <c r="Q107" s="232"/>
      <c r="R107" s="147"/>
      <c r="S107" s="223"/>
      <c r="T107" s="223"/>
      <c r="U107" s="223"/>
      <c r="V107" s="223"/>
      <c r="W107" s="149"/>
      <c r="X107" s="232"/>
      <c r="Y107" s="232"/>
      <c r="Z107" s="232"/>
      <c r="AA107" s="232"/>
      <c r="AB107" s="147"/>
      <c r="AC107" s="223"/>
      <c r="AD107" s="223"/>
      <c r="AE107" s="223"/>
      <c r="AF107" s="223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</row>
    <row r="108" spans="1:54" s="216" customFormat="1" ht="13.8" thickBot="1" x14ac:dyDescent="0.3">
      <c r="A108" s="151" t="s">
        <v>71</v>
      </c>
      <c r="B108" s="211">
        <f>B101*$L$6</f>
        <v>24.8</v>
      </c>
      <c r="C108" s="211">
        <f>C101*$L$6</f>
        <v>24.8</v>
      </c>
      <c r="D108" s="211">
        <f>D101*$L$6</f>
        <v>26.400000000000002</v>
      </c>
      <c r="E108" s="211">
        <f>E101*$L$6</f>
        <v>28</v>
      </c>
      <c r="F108" s="149"/>
      <c r="G108" s="232"/>
      <c r="H108" s="147"/>
      <c r="I108" s="232"/>
      <c r="J108" s="232"/>
      <c r="K108" s="232"/>
      <c r="L108" s="232"/>
      <c r="M108" s="149"/>
      <c r="N108" s="232"/>
      <c r="O108" s="232"/>
      <c r="P108" s="232"/>
      <c r="Q108" s="232"/>
      <c r="R108" s="180"/>
      <c r="S108" s="225"/>
      <c r="T108" s="225"/>
      <c r="U108" s="225"/>
      <c r="V108" s="225"/>
      <c r="W108" s="186"/>
      <c r="X108" s="232"/>
      <c r="Y108" s="232"/>
      <c r="Z108" s="232"/>
      <c r="AA108" s="232"/>
      <c r="AB108" s="180"/>
      <c r="AC108" s="225"/>
      <c r="AD108" s="225"/>
      <c r="AE108" s="225"/>
      <c r="AF108" s="225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0"/>
      <c r="AT108" s="180"/>
      <c r="AU108" s="180"/>
      <c r="AV108" s="180"/>
      <c r="AW108" s="180"/>
      <c r="AX108" s="180"/>
      <c r="AY108" s="180"/>
      <c r="AZ108" s="180"/>
      <c r="BA108" s="180"/>
      <c r="BB108" s="180"/>
    </row>
    <row r="109" spans="1:54" s="201" customFormat="1" ht="15" customHeight="1" thickTop="1" x14ac:dyDescent="0.25">
      <c r="A109" s="212" t="s">
        <v>73</v>
      </c>
      <c r="B109" s="213">
        <f>+B105+B107+B108</f>
        <v>853.64480000000003</v>
      </c>
      <c r="C109" s="214">
        <f>+C105+C107+C108</f>
        <v>1012.8896</v>
      </c>
      <c r="D109" s="214">
        <f>+D105+D107+D108</f>
        <v>1216.9343999999999</v>
      </c>
      <c r="E109" s="311">
        <f>+E105+E107+E108</f>
        <v>1420.9792</v>
      </c>
      <c r="F109" s="186"/>
      <c r="G109" s="217"/>
      <c r="H109" s="180"/>
      <c r="I109" s="217"/>
      <c r="J109" s="217"/>
      <c r="K109" s="217"/>
      <c r="L109" s="217"/>
      <c r="M109" s="186"/>
      <c r="N109" s="217"/>
      <c r="O109" s="217"/>
      <c r="P109" s="217"/>
      <c r="Q109" s="217"/>
      <c r="R109" s="147"/>
      <c r="S109" s="147"/>
      <c r="T109" s="147"/>
      <c r="U109" s="147"/>
      <c r="V109" s="147"/>
      <c r="W109" s="149"/>
      <c r="X109" s="217"/>
      <c r="Y109" s="217"/>
      <c r="Z109" s="217"/>
      <c r="AA109" s="217"/>
      <c r="AB109" s="147"/>
      <c r="AC109" s="147"/>
      <c r="AD109" s="147"/>
      <c r="AE109" s="147"/>
      <c r="AF109" s="147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</row>
    <row r="110" spans="1:54" s="201" customFormat="1" ht="15" customHeight="1" x14ac:dyDescent="0.25">
      <c r="A110" s="212" t="s">
        <v>72</v>
      </c>
      <c r="B110" s="238">
        <f>B109/1</f>
        <v>853.64480000000003</v>
      </c>
      <c r="C110" s="239">
        <f>C109/2</f>
        <v>506.44479999999999</v>
      </c>
      <c r="D110" s="239">
        <f>D109/3</f>
        <v>405.64479999999998</v>
      </c>
      <c r="E110" s="310">
        <f>E109/4</f>
        <v>355.2448</v>
      </c>
      <c r="F110" s="186" t="s">
        <v>15</v>
      </c>
      <c r="G110" s="217"/>
      <c r="H110" s="186"/>
      <c r="I110" s="217"/>
      <c r="J110" s="217"/>
      <c r="K110" s="217"/>
      <c r="L110" s="217"/>
      <c r="M110" s="186"/>
      <c r="N110" s="217"/>
      <c r="O110" s="217"/>
      <c r="P110" s="217"/>
      <c r="Q110" s="217"/>
      <c r="R110" s="147"/>
      <c r="S110" s="478"/>
      <c r="T110" s="478"/>
      <c r="U110" s="477"/>
      <c r="V110" s="477"/>
      <c r="W110" s="149"/>
      <c r="X110" s="217"/>
      <c r="Y110" s="217"/>
      <c r="Z110" s="217"/>
      <c r="AA110" s="217"/>
      <c r="AB110" s="147"/>
      <c r="AC110" s="478"/>
      <c r="AD110" s="478"/>
      <c r="AE110" s="477"/>
      <c r="AF110" s="477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</row>
    <row r="111" spans="1:54" s="216" customFormat="1" ht="30" customHeight="1" thickBot="1" x14ac:dyDescent="0.3">
      <c r="A111" s="147"/>
      <c r="B111" s="147"/>
      <c r="C111" s="147"/>
      <c r="D111" s="147"/>
      <c r="E111" s="147"/>
      <c r="F111" s="149"/>
      <c r="G111" s="149"/>
      <c r="H111" s="147"/>
      <c r="I111" s="147"/>
      <c r="J111" s="147"/>
      <c r="K111" s="147"/>
      <c r="L111" s="147"/>
      <c r="M111" s="147"/>
      <c r="N111" s="149"/>
      <c r="O111" s="149"/>
      <c r="P111" s="149"/>
      <c r="Q111" s="149"/>
      <c r="R111" s="180"/>
      <c r="S111" s="180"/>
      <c r="T111" s="180"/>
      <c r="U111" s="180"/>
      <c r="V111" s="180"/>
      <c r="W111" s="186"/>
      <c r="X111" s="149"/>
      <c r="Y111" s="149"/>
      <c r="Z111" s="149"/>
      <c r="AA111" s="149"/>
      <c r="AB111" s="180"/>
      <c r="AC111" s="180"/>
      <c r="AD111" s="180"/>
      <c r="AE111" s="180"/>
      <c r="AF111" s="180"/>
      <c r="AG111" s="186"/>
      <c r="AH111" s="186"/>
      <c r="AI111" s="186"/>
      <c r="AJ111" s="186"/>
      <c r="AK111" s="186"/>
      <c r="AL111" s="186"/>
      <c r="AM111" s="186"/>
      <c r="AN111" s="186"/>
      <c r="AO111" s="186"/>
      <c r="AP111" s="186"/>
      <c r="AQ111" s="186"/>
      <c r="AR111" s="186"/>
      <c r="AS111" s="180"/>
      <c r="AT111" s="180"/>
      <c r="AU111" s="180"/>
      <c r="AV111" s="180"/>
      <c r="AW111" s="180"/>
      <c r="AX111" s="180"/>
      <c r="AY111" s="180"/>
      <c r="AZ111" s="180"/>
      <c r="BA111" s="180"/>
      <c r="BB111" s="180"/>
    </row>
    <row r="112" spans="1:54" s="216" customFormat="1" ht="12.9" customHeight="1" thickBot="1" x14ac:dyDescent="0.3">
      <c r="A112" s="147"/>
      <c r="B112" s="479" t="str">
        <f>$A$3</f>
        <v>NYS Association of Self Insured Counties</v>
      </c>
      <c r="C112" s="480"/>
      <c r="D112" s="480"/>
      <c r="E112" s="480"/>
      <c r="F112" s="148"/>
      <c r="G112" s="148"/>
      <c r="H112" s="147"/>
      <c r="I112" s="147"/>
      <c r="J112" s="147"/>
      <c r="K112" s="147"/>
      <c r="L112" s="147"/>
      <c r="M112" s="147"/>
      <c r="N112" s="149"/>
      <c r="O112" s="149"/>
      <c r="P112" s="149"/>
      <c r="Q112" s="149"/>
      <c r="R112" s="180"/>
      <c r="S112" s="180"/>
      <c r="T112" s="180"/>
      <c r="U112" s="180"/>
      <c r="V112" s="180"/>
      <c r="W112" s="186"/>
      <c r="X112" s="149"/>
      <c r="Y112" s="149"/>
      <c r="Z112" s="149"/>
      <c r="AA112" s="149"/>
      <c r="AB112" s="180"/>
      <c r="AC112" s="180"/>
      <c r="AD112" s="180"/>
      <c r="AE112" s="180"/>
      <c r="AF112" s="180"/>
      <c r="AG112" s="186"/>
      <c r="AH112" s="186"/>
      <c r="AI112" s="186"/>
      <c r="AJ112" s="186"/>
      <c r="AK112" s="186"/>
      <c r="AL112" s="186"/>
      <c r="AM112" s="186"/>
      <c r="AN112" s="186"/>
      <c r="AO112" s="186"/>
      <c r="AP112" s="186"/>
      <c r="AQ112" s="186"/>
      <c r="AR112" s="186"/>
      <c r="AS112" s="180"/>
      <c r="AT112" s="180"/>
      <c r="AU112" s="180"/>
      <c r="AV112" s="180"/>
      <c r="AW112" s="180"/>
      <c r="AX112" s="180"/>
      <c r="AY112" s="180"/>
      <c r="AZ112" s="180"/>
      <c r="BA112" s="180"/>
      <c r="BB112" s="180"/>
    </row>
    <row r="113" spans="1:54" s="216" customFormat="1" ht="20.100000000000001" customHeight="1" thickBot="1" x14ac:dyDescent="0.3">
      <c r="A113" s="264" t="s">
        <v>89</v>
      </c>
      <c r="B113" s="236">
        <f>B17</f>
        <v>0</v>
      </c>
      <c r="C113" s="237">
        <f>C17</f>
        <v>0</v>
      </c>
      <c r="D113" s="237">
        <f>D17</f>
        <v>0</v>
      </c>
      <c r="E113" s="237">
        <f>E17</f>
        <v>0</v>
      </c>
      <c r="F113" s="312"/>
      <c r="G113" s="312"/>
      <c r="H113" s="149"/>
      <c r="I113" s="147"/>
      <c r="J113" s="147"/>
      <c r="K113" s="147"/>
      <c r="L113" s="147"/>
      <c r="M113" s="147"/>
      <c r="N113" s="149"/>
      <c r="O113" s="149"/>
      <c r="P113" s="149"/>
      <c r="Q113" s="149"/>
      <c r="R113" s="186"/>
      <c r="S113" s="186"/>
      <c r="T113" s="186"/>
      <c r="U113" s="186"/>
      <c r="V113" s="186"/>
      <c r="W113" s="186"/>
      <c r="X113" s="149"/>
      <c r="Y113" s="149"/>
      <c r="Z113" s="149"/>
      <c r="AA113" s="149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0"/>
      <c r="AT113" s="180"/>
      <c r="AU113" s="180"/>
      <c r="AV113" s="180"/>
      <c r="AW113" s="180"/>
      <c r="AX113" s="180"/>
      <c r="AY113" s="180"/>
      <c r="AZ113" s="180"/>
      <c r="BA113" s="180"/>
      <c r="BB113" s="180"/>
    </row>
    <row r="114" spans="1:54" x14ac:dyDescent="0.25">
      <c r="B114" s="221" t="s">
        <v>0</v>
      </c>
      <c r="C114" s="221" t="s">
        <v>4</v>
      </c>
      <c r="D114" s="221" t="s">
        <v>2</v>
      </c>
      <c r="E114" s="221" t="s">
        <v>3</v>
      </c>
      <c r="F114" s="148"/>
      <c r="G114" s="148"/>
      <c r="N114" s="149"/>
      <c r="O114" s="149"/>
      <c r="P114" s="149"/>
      <c r="Q114" s="149"/>
      <c r="W114" s="149"/>
      <c r="X114" s="149"/>
      <c r="Y114" s="149"/>
      <c r="Z114" s="149"/>
      <c r="AA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</row>
    <row r="115" spans="1:54" s="201" customFormat="1" x14ac:dyDescent="0.25">
      <c r="A115" s="151" t="s">
        <v>68</v>
      </c>
      <c r="B115" s="204">
        <f>SUM($L$9)*5</f>
        <v>775</v>
      </c>
      <c r="C115" s="204">
        <f>SUM($L$10)*5</f>
        <v>775</v>
      </c>
      <c r="D115" s="204">
        <f>SUM($L$11)*5</f>
        <v>825</v>
      </c>
      <c r="E115" s="204">
        <f>SUM($L$12)*5</f>
        <v>875</v>
      </c>
      <c r="F115" s="231"/>
      <c r="G115" s="231"/>
      <c r="H115" s="147"/>
      <c r="I115" s="231"/>
      <c r="J115" s="231"/>
      <c r="K115" s="231"/>
      <c r="L115" s="231"/>
      <c r="M115" s="149"/>
      <c r="N115" s="231"/>
      <c r="O115" s="231"/>
      <c r="P115" s="231"/>
      <c r="Q115" s="231"/>
      <c r="R115" s="147"/>
      <c r="S115" s="223"/>
      <c r="T115" s="223"/>
      <c r="U115" s="223"/>
      <c r="V115" s="223"/>
      <c r="W115" s="149"/>
      <c r="X115" s="231"/>
      <c r="Y115" s="231"/>
      <c r="Z115" s="231"/>
      <c r="AA115" s="231"/>
      <c r="AB115" s="147"/>
      <c r="AC115" s="223"/>
      <c r="AD115" s="223"/>
      <c r="AE115" s="223"/>
      <c r="AF115" s="223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</row>
    <row r="116" spans="1:54" s="201" customFormat="1" x14ac:dyDescent="0.25">
      <c r="A116" s="151" t="s">
        <v>67</v>
      </c>
      <c r="B116" s="205">
        <f>SUM($L$15*4)+SUM($L$16*4*1)+$L$17+$L$18</f>
        <v>20</v>
      </c>
      <c r="C116" s="205">
        <f>SUM($L$15*4)+SUM($L$16*4*2)+$L$17+SUM($L$18*2)</f>
        <v>40</v>
      </c>
      <c r="D116" s="205">
        <f>SUM($L$15*4)+SUM($L$16*4*3)+$L$17+SUM($L$18*3)</f>
        <v>60</v>
      </c>
      <c r="E116" s="205">
        <f>SUM($L$15*4)+SUM($L$16*4*4)+$L$17+SUM($L$18*4)</f>
        <v>80</v>
      </c>
      <c r="F116" s="232"/>
      <c r="G116" s="232"/>
      <c r="H116" s="147"/>
      <c r="I116" s="232"/>
      <c r="J116" s="232"/>
      <c r="K116" s="232"/>
      <c r="L116" s="232"/>
      <c r="M116" s="149"/>
      <c r="N116" s="232"/>
      <c r="O116" s="232"/>
      <c r="P116" s="232"/>
      <c r="Q116" s="232"/>
      <c r="R116" s="147"/>
      <c r="S116" s="223"/>
      <c r="T116" s="224"/>
      <c r="U116" s="224"/>
      <c r="V116" s="224"/>
      <c r="W116" s="149"/>
      <c r="X116" s="232"/>
      <c r="Y116" s="232"/>
      <c r="Z116" s="232"/>
      <c r="AA116" s="232"/>
      <c r="AB116" s="147"/>
      <c r="AC116" s="223"/>
      <c r="AD116" s="224"/>
      <c r="AE116" s="224"/>
      <c r="AF116" s="224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</row>
    <row r="117" spans="1:54" s="201" customFormat="1" x14ac:dyDescent="0.25">
      <c r="A117" s="157" t="s">
        <v>64</v>
      </c>
      <c r="B117" s="207">
        <f>B27+C27+D27+E27+F27</f>
        <v>107.2</v>
      </c>
      <c r="C117" s="207">
        <f>B117*2</f>
        <v>214.4</v>
      </c>
      <c r="D117" s="207">
        <f>B117*3</f>
        <v>321.60000000000002</v>
      </c>
      <c r="E117" s="207">
        <f>B117*4</f>
        <v>428.8</v>
      </c>
      <c r="F117" s="232"/>
      <c r="G117" s="232"/>
      <c r="H117" s="149"/>
      <c r="I117" s="232"/>
      <c r="J117" s="232"/>
      <c r="K117" s="232"/>
      <c r="L117" s="232"/>
      <c r="M117" s="149"/>
      <c r="N117" s="232"/>
      <c r="O117" s="232"/>
      <c r="P117" s="232"/>
      <c r="Q117" s="232"/>
      <c r="R117" s="147"/>
      <c r="S117" s="223"/>
      <c r="T117" s="223"/>
      <c r="U117" s="223"/>
      <c r="V117" s="223"/>
      <c r="W117" s="149"/>
      <c r="X117" s="232"/>
      <c r="Y117" s="232"/>
      <c r="Z117" s="232"/>
      <c r="AA117" s="232"/>
      <c r="AB117" s="147"/>
      <c r="AC117" s="223"/>
      <c r="AD117" s="223"/>
      <c r="AE117" s="223"/>
      <c r="AF117" s="223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</row>
    <row r="118" spans="1:54" s="216" customFormat="1" x14ac:dyDescent="0.25">
      <c r="A118" s="157" t="s">
        <v>69</v>
      </c>
      <c r="B118" s="208">
        <f>B28+C28+D28+E28+F28</f>
        <v>21.44</v>
      </c>
      <c r="C118" s="208">
        <f>B118*2</f>
        <v>42.88</v>
      </c>
      <c r="D118" s="208">
        <f>B118*3</f>
        <v>64.320000000000007</v>
      </c>
      <c r="E118" s="208">
        <f>B118*4</f>
        <v>85.76</v>
      </c>
      <c r="F118" s="232"/>
      <c r="G118" s="232"/>
      <c r="H118" s="147"/>
      <c r="I118" s="232"/>
      <c r="J118" s="232"/>
      <c r="K118" s="232"/>
      <c r="L118" s="232"/>
      <c r="M118" s="149"/>
      <c r="N118" s="232"/>
      <c r="O118" s="232"/>
      <c r="P118" s="232"/>
      <c r="Q118" s="232"/>
      <c r="R118" s="180"/>
      <c r="S118" s="225"/>
      <c r="T118" s="225"/>
      <c r="U118" s="225"/>
      <c r="V118" s="225"/>
      <c r="W118" s="186"/>
      <c r="X118" s="232"/>
      <c r="Y118" s="232"/>
      <c r="Z118" s="232"/>
      <c r="AA118" s="232"/>
      <c r="AB118" s="180"/>
      <c r="AC118" s="225"/>
      <c r="AD118" s="225"/>
      <c r="AE118" s="225"/>
      <c r="AF118" s="225"/>
      <c r="AG118" s="186"/>
      <c r="AH118" s="186"/>
      <c r="AI118" s="186"/>
      <c r="AJ118" s="186"/>
      <c r="AK118" s="186"/>
      <c r="AL118" s="186"/>
      <c r="AM118" s="186"/>
      <c r="AN118" s="186"/>
      <c r="AO118" s="186"/>
      <c r="AP118" s="186"/>
      <c r="AQ118" s="186"/>
      <c r="AR118" s="186"/>
      <c r="AS118" s="180"/>
      <c r="AT118" s="180"/>
      <c r="AU118" s="180"/>
      <c r="AV118" s="180"/>
      <c r="AW118" s="180"/>
      <c r="AX118" s="180"/>
      <c r="AY118" s="180"/>
      <c r="AZ118" s="180"/>
      <c r="BA118" s="180"/>
      <c r="BB118" s="180"/>
    </row>
    <row r="119" spans="1:54" s="201" customFormat="1" x14ac:dyDescent="0.25">
      <c r="A119" s="209" t="s">
        <v>42</v>
      </c>
      <c r="B119" s="210">
        <f>SUM(B115:B118)</f>
        <v>923.6400000000001</v>
      </c>
      <c r="C119" s="210">
        <f>SUM(C115:C118)</f>
        <v>1072.2800000000002</v>
      </c>
      <c r="D119" s="210">
        <f>SUM(D115:D118)</f>
        <v>1270.9199999999998</v>
      </c>
      <c r="E119" s="210">
        <f>SUM(E115:E118)</f>
        <v>1469.56</v>
      </c>
      <c r="F119" s="217"/>
      <c r="G119" s="217"/>
      <c r="H119" s="147"/>
      <c r="I119" s="217"/>
      <c r="J119" s="217"/>
      <c r="K119" s="217"/>
      <c r="L119" s="217"/>
      <c r="M119" s="149"/>
      <c r="N119" s="217"/>
      <c r="O119" s="217"/>
      <c r="P119" s="217"/>
      <c r="Q119" s="217"/>
      <c r="R119" s="147"/>
      <c r="S119" s="223"/>
      <c r="T119" s="223"/>
      <c r="U119" s="223"/>
      <c r="V119" s="223"/>
      <c r="W119" s="149"/>
      <c r="X119" s="217"/>
      <c r="Y119" s="217"/>
      <c r="Z119" s="217"/>
      <c r="AA119" s="217"/>
      <c r="AB119" s="147"/>
      <c r="AC119" s="223"/>
      <c r="AD119" s="223"/>
      <c r="AE119" s="223"/>
      <c r="AF119" s="223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</row>
    <row r="120" spans="1:54" s="201" customFormat="1" ht="15" customHeight="1" x14ac:dyDescent="0.25">
      <c r="A120" s="212" t="s">
        <v>84</v>
      </c>
      <c r="B120" s="238">
        <f>B119/1</f>
        <v>923.6400000000001</v>
      </c>
      <c r="C120" s="239">
        <f>C119/2</f>
        <v>536.1400000000001</v>
      </c>
      <c r="D120" s="239">
        <f>D119/3</f>
        <v>423.63999999999993</v>
      </c>
      <c r="E120" s="310">
        <f>E119/4</f>
        <v>367.39</v>
      </c>
      <c r="F120" s="186" t="s">
        <v>15</v>
      </c>
      <c r="G120" s="217"/>
      <c r="H120" s="186"/>
      <c r="I120" s="217"/>
      <c r="J120" s="217"/>
      <c r="K120" s="217"/>
      <c r="L120" s="217"/>
      <c r="M120" s="186"/>
      <c r="N120" s="217"/>
      <c r="O120" s="217"/>
      <c r="P120" s="217"/>
      <c r="Q120" s="217"/>
      <c r="R120" s="147"/>
      <c r="S120" s="478"/>
      <c r="T120" s="478"/>
      <c r="U120" s="477"/>
      <c r="V120" s="477"/>
      <c r="W120" s="149"/>
      <c r="X120" s="217"/>
      <c r="Y120" s="217"/>
      <c r="Z120" s="217"/>
      <c r="AA120" s="217"/>
      <c r="AB120" s="147"/>
      <c r="AC120" s="478"/>
      <c r="AD120" s="478"/>
      <c r="AE120" s="477"/>
      <c r="AF120" s="477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</row>
    <row r="121" spans="1:54" s="201" customFormat="1" x14ac:dyDescent="0.25">
      <c r="A121" s="151" t="s">
        <v>70</v>
      </c>
      <c r="B121" s="205">
        <f>SUM(B115*$L$5)+SUM($B$30*1)+SUM($C$30*1)+SUM($D$30*1)+SUM($E$30*1)+SUM(B116*$L$5)</f>
        <v>72.604799999999997</v>
      </c>
      <c r="C121" s="205">
        <f>SUM(C115*$L$5)+SUM($B$30*2)+SUM($C$30*2)+SUM($D$30*2)+SUM($E$30*2)+SUM(C116*$L$5)</f>
        <v>83.209599999999995</v>
      </c>
      <c r="D121" s="205">
        <f>SUM(D115*$L$5)+SUM($B$30*3)+SUM($C$30*3)+SUM($D$30*3)+SUM($E$30*3)+SUM(D116*$L$5)</f>
        <v>97.814399999999992</v>
      </c>
      <c r="E121" s="205">
        <f>SUM(E115*$L$5)+SUM($B$30*4)+SUM($C$30*4)+SUM($D$30*4)+SUM($E$30*4)+SUM(E116*$L$5)</f>
        <v>112.41920000000002</v>
      </c>
      <c r="F121" s="149"/>
      <c r="G121" s="232"/>
      <c r="H121" s="147"/>
      <c r="I121" s="232"/>
      <c r="J121" s="232"/>
      <c r="K121" s="232"/>
      <c r="L121" s="232"/>
      <c r="M121" s="149"/>
      <c r="N121" s="232"/>
      <c r="O121" s="232"/>
      <c r="P121" s="232"/>
      <c r="Q121" s="232"/>
      <c r="R121" s="147"/>
      <c r="S121" s="223"/>
      <c r="T121" s="223"/>
      <c r="U121" s="223"/>
      <c r="V121" s="223"/>
      <c r="W121" s="149"/>
      <c r="X121" s="232"/>
      <c r="Y121" s="232"/>
      <c r="Z121" s="232"/>
      <c r="AA121" s="232"/>
      <c r="AB121" s="147"/>
      <c r="AC121" s="223"/>
      <c r="AD121" s="223"/>
      <c r="AE121" s="223"/>
      <c r="AF121" s="223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</row>
    <row r="122" spans="1:54" s="216" customFormat="1" ht="13.8" thickBot="1" x14ac:dyDescent="0.3">
      <c r="A122" s="151" t="s">
        <v>71</v>
      </c>
      <c r="B122" s="211">
        <f>B115*$L$6</f>
        <v>31</v>
      </c>
      <c r="C122" s="211">
        <f>C115*$L$6</f>
        <v>31</v>
      </c>
      <c r="D122" s="211">
        <f>D115*$L$6</f>
        <v>33</v>
      </c>
      <c r="E122" s="211">
        <f>E115*$L$6</f>
        <v>35</v>
      </c>
      <c r="F122" s="149"/>
      <c r="G122" s="232"/>
      <c r="H122" s="147"/>
      <c r="I122" s="232"/>
      <c r="J122" s="232"/>
      <c r="K122" s="232"/>
      <c r="L122" s="232"/>
      <c r="M122" s="149"/>
      <c r="N122" s="232"/>
      <c r="O122" s="232"/>
      <c r="P122" s="232"/>
      <c r="Q122" s="232"/>
      <c r="R122" s="180"/>
      <c r="S122" s="225"/>
      <c r="T122" s="225"/>
      <c r="U122" s="225"/>
      <c r="V122" s="225"/>
      <c r="W122" s="186"/>
      <c r="X122" s="232"/>
      <c r="Y122" s="232"/>
      <c r="Z122" s="232"/>
      <c r="AA122" s="232"/>
      <c r="AB122" s="180"/>
      <c r="AC122" s="225"/>
      <c r="AD122" s="225"/>
      <c r="AE122" s="225"/>
      <c r="AF122" s="225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80"/>
      <c r="AT122" s="180"/>
      <c r="AU122" s="180"/>
      <c r="AV122" s="180"/>
      <c r="AW122" s="180"/>
      <c r="AX122" s="180"/>
      <c r="AY122" s="180"/>
      <c r="AZ122" s="180"/>
      <c r="BA122" s="180"/>
      <c r="BB122" s="180"/>
    </row>
    <row r="123" spans="1:54" s="201" customFormat="1" ht="15" customHeight="1" thickTop="1" x14ac:dyDescent="0.25">
      <c r="A123" s="212" t="s">
        <v>73</v>
      </c>
      <c r="B123" s="213">
        <f>+B119+B121+B122</f>
        <v>1027.2447999999999</v>
      </c>
      <c r="C123" s="214">
        <f>+C119+C121+C122</f>
        <v>1186.4896000000001</v>
      </c>
      <c r="D123" s="214">
        <f>+D119+D121+D122</f>
        <v>1401.7343999999998</v>
      </c>
      <c r="E123" s="311">
        <f>+E119+E121+E122</f>
        <v>1616.9792</v>
      </c>
      <c r="F123" s="186"/>
      <c r="G123" s="217"/>
      <c r="H123" s="180"/>
      <c r="I123" s="217"/>
      <c r="J123" s="217"/>
      <c r="K123" s="217"/>
      <c r="L123" s="217"/>
      <c r="M123" s="186"/>
      <c r="N123" s="217"/>
      <c r="O123" s="217"/>
      <c r="P123" s="217"/>
      <c r="Q123" s="217"/>
      <c r="R123" s="147"/>
      <c r="S123" s="147"/>
      <c r="T123" s="147"/>
      <c r="U123" s="147"/>
      <c r="V123" s="147"/>
      <c r="W123" s="149"/>
      <c r="X123" s="217"/>
      <c r="Y123" s="217"/>
      <c r="Z123" s="217"/>
      <c r="AA123" s="217"/>
      <c r="AB123" s="147"/>
      <c r="AC123" s="147"/>
      <c r="AD123" s="147"/>
      <c r="AE123" s="147"/>
      <c r="AF123" s="147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</row>
    <row r="124" spans="1:54" s="201" customFormat="1" ht="15" customHeight="1" x14ac:dyDescent="0.25">
      <c r="A124" s="212" t="s">
        <v>72</v>
      </c>
      <c r="B124" s="238">
        <f>B123/1</f>
        <v>1027.2447999999999</v>
      </c>
      <c r="C124" s="239">
        <f>C123/2</f>
        <v>593.24480000000005</v>
      </c>
      <c r="D124" s="239">
        <f>D123/3</f>
        <v>467.24479999999994</v>
      </c>
      <c r="E124" s="310">
        <f>E123/4</f>
        <v>404.2448</v>
      </c>
      <c r="F124" s="186" t="s">
        <v>15</v>
      </c>
      <c r="G124" s="217"/>
      <c r="H124" s="186"/>
      <c r="I124" s="217"/>
      <c r="J124" s="217"/>
      <c r="K124" s="217"/>
      <c r="L124" s="217"/>
      <c r="M124" s="186"/>
      <c r="N124" s="217"/>
      <c r="O124" s="217"/>
      <c r="P124" s="217"/>
      <c r="Q124" s="217"/>
      <c r="R124" s="147"/>
      <c r="S124" s="478"/>
      <c r="T124" s="478"/>
      <c r="U124" s="477"/>
      <c r="V124" s="477"/>
      <c r="W124" s="149"/>
      <c r="X124" s="217"/>
      <c r="Y124" s="217"/>
      <c r="Z124" s="217"/>
      <c r="AA124" s="217"/>
      <c r="AB124" s="147"/>
      <c r="AC124" s="478"/>
      <c r="AD124" s="478"/>
      <c r="AE124" s="477"/>
      <c r="AF124" s="477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</row>
    <row r="125" spans="1:54" s="216" customFormat="1" ht="30" customHeight="1" x14ac:dyDescent="0.25">
      <c r="A125" s="147"/>
      <c r="B125" s="147"/>
      <c r="C125" s="147"/>
      <c r="D125" s="147"/>
      <c r="E125" s="147"/>
      <c r="F125" s="149"/>
      <c r="G125" s="149"/>
      <c r="H125" s="147"/>
      <c r="I125" s="147"/>
      <c r="J125" s="147"/>
      <c r="K125" s="147"/>
      <c r="L125" s="147"/>
      <c r="M125" s="147"/>
      <c r="N125" s="149"/>
      <c r="O125" s="149"/>
      <c r="P125" s="149"/>
      <c r="Q125" s="149"/>
      <c r="R125" s="180"/>
      <c r="S125" s="180"/>
      <c r="T125" s="180"/>
      <c r="U125" s="180"/>
      <c r="V125" s="180"/>
      <c r="W125" s="186"/>
      <c r="X125" s="149"/>
      <c r="Y125" s="149"/>
      <c r="Z125" s="149"/>
      <c r="AA125" s="149"/>
      <c r="AB125" s="180"/>
      <c r="AC125" s="180"/>
      <c r="AD125" s="180"/>
      <c r="AE125" s="180"/>
      <c r="AF125" s="180"/>
      <c r="AG125" s="186"/>
      <c r="AH125" s="186"/>
      <c r="AI125" s="186"/>
      <c r="AJ125" s="186"/>
      <c r="AK125" s="186"/>
      <c r="AL125" s="186"/>
      <c r="AM125" s="186"/>
      <c r="AN125" s="186"/>
      <c r="AO125" s="186"/>
      <c r="AP125" s="186"/>
      <c r="AQ125" s="186"/>
      <c r="AR125" s="186"/>
      <c r="AS125" s="180"/>
      <c r="AT125" s="180"/>
      <c r="AU125" s="180"/>
      <c r="AV125" s="180"/>
      <c r="AW125" s="180"/>
      <c r="AX125" s="180"/>
      <c r="AY125" s="180"/>
      <c r="AZ125" s="180"/>
      <c r="BA125" s="180"/>
      <c r="BB125" s="180"/>
    </row>
    <row r="126" spans="1:54" s="216" customFormat="1" ht="12.9" customHeight="1" thickBot="1" x14ac:dyDescent="0.3">
      <c r="A126" s="147"/>
      <c r="B126" s="481" t="str">
        <f>$A$3</f>
        <v>NYS Association of Self Insured Counties</v>
      </c>
      <c r="C126" s="482"/>
      <c r="D126" s="482"/>
      <c r="E126" s="482"/>
      <c r="F126" s="482"/>
      <c r="G126" s="482"/>
      <c r="H126" s="147"/>
      <c r="I126" s="147"/>
      <c r="J126" s="147"/>
      <c r="K126" s="147"/>
      <c r="L126" s="147"/>
      <c r="M126" s="147"/>
      <c r="N126" s="149"/>
      <c r="O126" s="149"/>
      <c r="P126" s="149"/>
      <c r="Q126" s="149"/>
      <c r="R126" s="180"/>
      <c r="S126" s="180"/>
      <c r="T126" s="180"/>
      <c r="U126" s="180"/>
      <c r="V126" s="180"/>
      <c r="W126" s="186"/>
      <c r="X126" s="149"/>
      <c r="Y126" s="149"/>
      <c r="Z126" s="149"/>
      <c r="AA126" s="149"/>
      <c r="AB126" s="180"/>
      <c r="AC126" s="180"/>
      <c r="AD126" s="180"/>
      <c r="AE126" s="180"/>
      <c r="AF126" s="180"/>
      <c r="AG126" s="186"/>
      <c r="AH126" s="186"/>
      <c r="AI126" s="186"/>
      <c r="AJ126" s="186"/>
      <c r="AK126" s="186"/>
      <c r="AL126" s="186"/>
      <c r="AM126" s="186"/>
      <c r="AN126" s="186"/>
      <c r="AO126" s="186"/>
      <c r="AP126" s="186"/>
      <c r="AQ126" s="186"/>
      <c r="AR126" s="186"/>
      <c r="AS126" s="180"/>
      <c r="AT126" s="180"/>
      <c r="AU126" s="180"/>
      <c r="AV126" s="180"/>
      <c r="AW126" s="180"/>
      <c r="AX126" s="180"/>
      <c r="AY126" s="180"/>
      <c r="AZ126" s="180"/>
      <c r="BA126" s="180"/>
      <c r="BB126" s="180"/>
    </row>
    <row r="127" spans="1:54" s="216" customFormat="1" ht="20.100000000000001" customHeight="1" thickBot="1" x14ac:dyDescent="0.3">
      <c r="A127" s="264" t="s">
        <v>88</v>
      </c>
      <c r="B127" s="236">
        <f t="shared" ref="B127:G127" si="10">B3</f>
        <v>44475</v>
      </c>
      <c r="C127" s="237">
        <f t="shared" si="10"/>
        <v>44476</v>
      </c>
      <c r="D127" s="237">
        <f t="shared" si="10"/>
        <v>44477</v>
      </c>
      <c r="E127" s="237">
        <f t="shared" si="10"/>
        <v>44478</v>
      </c>
      <c r="F127" s="237">
        <f t="shared" si="10"/>
        <v>44479</v>
      </c>
      <c r="G127" s="237">
        <f t="shared" si="10"/>
        <v>44480</v>
      </c>
      <c r="H127" s="149"/>
      <c r="I127" s="147"/>
      <c r="J127" s="147"/>
      <c r="K127" s="147"/>
      <c r="L127" s="147"/>
      <c r="M127" s="147"/>
      <c r="N127" s="149"/>
      <c r="O127" s="149"/>
      <c r="P127" s="149"/>
      <c r="Q127" s="149"/>
      <c r="R127" s="186"/>
      <c r="S127" s="186"/>
      <c r="T127" s="186"/>
      <c r="U127" s="186"/>
      <c r="V127" s="186"/>
      <c r="W127" s="186"/>
      <c r="X127" s="149"/>
      <c r="Y127" s="149"/>
      <c r="Z127" s="149"/>
      <c r="AA127" s="149"/>
      <c r="AB127" s="186"/>
      <c r="AC127" s="186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186"/>
      <c r="AN127" s="186"/>
      <c r="AO127" s="186"/>
      <c r="AP127" s="186"/>
      <c r="AQ127" s="186"/>
      <c r="AR127" s="186"/>
      <c r="AS127" s="180"/>
      <c r="AT127" s="180"/>
      <c r="AU127" s="180"/>
      <c r="AV127" s="180"/>
      <c r="AW127" s="180"/>
      <c r="AX127" s="180"/>
      <c r="AY127" s="180"/>
      <c r="AZ127" s="180"/>
      <c r="BA127" s="180"/>
      <c r="BB127" s="180"/>
    </row>
    <row r="128" spans="1:54" x14ac:dyDescent="0.25">
      <c r="B128" s="221" t="s">
        <v>0</v>
      </c>
      <c r="C128" s="221" t="s">
        <v>4</v>
      </c>
      <c r="D128" s="221" t="s">
        <v>2</v>
      </c>
      <c r="E128" s="221" t="s">
        <v>3</v>
      </c>
      <c r="F128" s="148"/>
      <c r="G128" s="148"/>
      <c r="N128" s="149"/>
      <c r="O128" s="149"/>
      <c r="P128" s="149"/>
      <c r="Q128" s="149"/>
      <c r="W128" s="149"/>
      <c r="X128" s="149"/>
      <c r="Y128" s="149"/>
      <c r="Z128" s="149"/>
      <c r="AA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</row>
    <row r="129" spans="1:54" s="201" customFormat="1" x14ac:dyDescent="0.25">
      <c r="A129" s="151" t="s">
        <v>68</v>
      </c>
      <c r="B129" s="204">
        <f>SUM($L$9)*5</f>
        <v>775</v>
      </c>
      <c r="C129" s="204">
        <f>SUM($L$10)*5</f>
        <v>775</v>
      </c>
      <c r="D129" s="204">
        <f>SUM($L$11)*5</f>
        <v>825</v>
      </c>
      <c r="E129" s="204">
        <f>SUM($L$12)*5</f>
        <v>875</v>
      </c>
      <c r="F129" s="231"/>
      <c r="G129" s="231"/>
      <c r="H129" s="147"/>
      <c r="I129" s="231"/>
      <c r="J129" s="231"/>
      <c r="K129" s="231"/>
      <c r="L129" s="231"/>
      <c r="M129" s="149"/>
      <c r="N129" s="231"/>
      <c r="O129" s="231"/>
      <c r="P129" s="231"/>
      <c r="Q129" s="231"/>
      <c r="R129" s="147"/>
      <c r="S129" s="223"/>
      <c r="T129" s="223"/>
      <c r="U129" s="223"/>
      <c r="V129" s="223"/>
      <c r="W129" s="149"/>
      <c r="X129" s="231"/>
      <c r="Y129" s="231"/>
      <c r="Z129" s="231"/>
      <c r="AA129" s="231"/>
      <c r="AB129" s="147"/>
      <c r="AC129" s="223"/>
      <c r="AD129" s="223"/>
      <c r="AE129" s="223"/>
      <c r="AF129" s="223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</row>
    <row r="130" spans="1:54" s="201" customFormat="1" x14ac:dyDescent="0.25">
      <c r="A130" s="151" t="s">
        <v>67</v>
      </c>
      <c r="B130" s="205">
        <f>SUM($L$15*6)+SUM($L$16*6*1)+$L$17+$L$18</f>
        <v>30</v>
      </c>
      <c r="C130" s="205">
        <f>SUM($L$15*6)+SUM($L$16*6*2)+$L$17+SUM($L$18*2)</f>
        <v>60</v>
      </c>
      <c r="D130" s="205">
        <f>SUM($L$15*6)+SUM($L$16*6*3)+$L$17+SUM($L$18*3)</f>
        <v>90</v>
      </c>
      <c r="E130" s="205">
        <f>SUM($L$15*6)+SUM($L$16*6*4)+$L$17+SUM($L$18*4)</f>
        <v>120</v>
      </c>
      <c r="F130" s="232"/>
      <c r="G130" s="232"/>
      <c r="H130" s="147"/>
      <c r="I130" s="232"/>
      <c r="J130" s="232"/>
      <c r="K130" s="232"/>
      <c r="L130" s="232"/>
      <c r="M130" s="149"/>
      <c r="N130" s="232"/>
      <c r="O130" s="232"/>
      <c r="P130" s="232"/>
      <c r="Q130" s="232"/>
      <c r="R130" s="147"/>
      <c r="S130" s="223"/>
      <c r="T130" s="224"/>
      <c r="U130" s="224"/>
      <c r="V130" s="224"/>
      <c r="W130" s="149"/>
      <c r="X130" s="232"/>
      <c r="Y130" s="232"/>
      <c r="Z130" s="232"/>
      <c r="AA130" s="232"/>
      <c r="AB130" s="147"/>
      <c r="AC130" s="223"/>
      <c r="AD130" s="224"/>
      <c r="AE130" s="224"/>
      <c r="AF130" s="224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</row>
    <row r="131" spans="1:54" s="201" customFormat="1" x14ac:dyDescent="0.25">
      <c r="A131" s="157" t="s">
        <v>64</v>
      </c>
      <c r="B131" s="207">
        <f>B27+C27+D27+E27+F27+G27</f>
        <v>107.2</v>
      </c>
      <c r="C131" s="207">
        <f>B131*2</f>
        <v>214.4</v>
      </c>
      <c r="D131" s="207">
        <f>B131*3</f>
        <v>321.60000000000002</v>
      </c>
      <c r="E131" s="207">
        <f>B131*4</f>
        <v>428.8</v>
      </c>
      <c r="F131" s="232"/>
      <c r="G131" s="232"/>
      <c r="H131" s="149"/>
      <c r="I131" s="232"/>
      <c r="J131" s="232"/>
      <c r="K131" s="232"/>
      <c r="L131" s="232"/>
      <c r="M131" s="149"/>
      <c r="N131" s="232"/>
      <c r="O131" s="232"/>
      <c r="P131" s="232"/>
      <c r="Q131" s="232"/>
      <c r="R131" s="147"/>
      <c r="S131" s="223"/>
      <c r="T131" s="223"/>
      <c r="U131" s="223"/>
      <c r="V131" s="223"/>
      <c r="W131" s="149"/>
      <c r="X131" s="232"/>
      <c r="Y131" s="232"/>
      <c r="Z131" s="232"/>
      <c r="AA131" s="232"/>
      <c r="AB131" s="147"/>
      <c r="AC131" s="223"/>
      <c r="AD131" s="223"/>
      <c r="AE131" s="223"/>
      <c r="AF131" s="223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</row>
    <row r="132" spans="1:54" s="216" customFormat="1" x14ac:dyDescent="0.25">
      <c r="A132" s="157" t="s">
        <v>69</v>
      </c>
      <c r="B132" s="208">
        <f>B28+C28+D28+E28+F28+G28</f>
        <v>21.44</v>
      </c>
      <c r="C132" s="208">
        <f>B132*2</f>
        <v>42.88</v>
      </c>
      <c r="D132" s="208">
        <f>B132*3</f>
        <v>64.320000000000007</v>
      </c>
      <c r="E132" s="208">
        <f>B132*4</f>
        <v>85.76</v>
      </c>
      <c r="F132" s="232"/>
      <c r="G132" s="232"/>
      <c r="H132" s="147"/>
      <c r="I132" s="232"/>
      <c r="J132" s="232"/>
      <c r="K132" s="232"/>
      <c r="L132" s="232"/>
      <c r="M132" s="149"/>
      <c r="N132" s="232"/>
      <c r="O132" s="232"/>
      <c r="P132" s="232"/>
      <c r="Q132" s="232"/>
      <c r="R132" s="180"/>
      <c r="S132" s="225"/>
      <c r="T132" s="225"/>
      <c r="U132" s="225"/>
      <c r="V132" s="225"/>
      <c r="W132" s="186"/>
      <c r="X132" s="232"/>
      <c r="Y132" s="232"/>
      <c r="Z132" s="232"/>
      <c r="AA132" s="232"/>
      <c r="AB132" s="180"/>
      <c r="AC132" s="225"/>
      <c r="AD132" s="225"/>
      <c r="AE132" s="225"/>
      <c r="AF132" s="225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0"/>
      <c r="AT132" s="180"/>
      <c r="AU132" s="180"/>
      <c r="AV132" s="180"/>
      <c r="AW132" s="180"/>
      <c r="AX132" s="180"/>
      <c r="AY132" s="180"/>
      <c r="AZ132" s="180"/>
      <c r="BA132" s="180"/>
      <c r="BB132" s="180"/>
    </row>
    <row r="133" spans="1:54" s="201" customFormat="1" x14ac:dyDescent="0.25">
      <c r="A133" s="209" t="s">
        <v>42</v>
      </c>
      <c r="B133" s="210">
        <f>SUM(B129:B132)</f>
        <v>933.6400000000001</v>
      </c>
      <c r="C133" s="210">
        <f>SUM(C129:C132)</f>
        <v>1092.2800000000002</v>
      </c>
      <c r="D133" s="210">
        <f>SUM(D129:D132)</f>
        <v>1300.9199999999998</v>
      </c>
      <c r="E133" s="210">
        <f>SUM(E129:E132)</f>
        <v>1509.56</v>
      </c>
      <c r="F133" s="217"/>
      <c r="G133" s="217"/>
      <c r="H133" s="147"/>
      <c r="I133" s="217"/>
      <c r="J133" s="217"/>
      <c r="K133" s="217"/>
      <c r="L133" s="217"/>
      <c r="M133" s="149"/>
      <c r="N133" s="217"/>
      <c r="O133" s="217"/>
      <c r="P133" s="217"/>
      <c r="Q133" s="217"/>
      <c r="R133" s="147"/>
      <c r="S133" s="223"/>
      <c r="T133" s="223"/>
      <c r="U133" s="223"/>
      <c r="V133" s="223"/>
      <c r="W133" s="149"/>
      <c r="X133" s="217"/>
      <c r="Y133" s="217"/>
      <c r="Z133" s="217"/>
      <c r="AA133" s="217"/>
      <c r="AB133" s="147"/>
      <c r="AC133" s="223"/>
      <c r="AD133" s="223"/>
      <c r="AE133" s="223"/>
      <c r="AF133" s="223"/>
      <c r="AG133" s="149"/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</row>
    <row r="134" spans="1:54" s="201" customFormat="1" ht="15" customHeight="1" x14ac:dyDescent="0.25">
      <c r="A134" s="212" t="s">
        <v>84</v>
      </c>
      <c r="B134" s="238">
        <f>B133/1</f>
        <v>933.6400000000001</v>
      </c>
      <c r="C134" s="239">
        <f>C133/2</f>
        <v>546.1400000000001</v>
      </c>
      <c r="D134" s="239">
        <f>D133/3</f>
        <v>433.63999999999993</v>
      </c>
      <c r="E134" s="310">
        <f>E133/4</f>
        <v>377.39</v>
      </c>
      <c r="F134" s="186" t="s">
        <v>15</v>
      </c>
      <c r="G134" s="217"/>
      <c r="H134" s="186"/>
      <c r="I134" s="217"/>
      <c r="J134" s="217"/>
      <c r="K134" s="217"/>
      <c r="L134" s="217"/>
      <c r="M134" s="186"/>
      <c r="N134" s="217"/>
      <c r="O134" s="217"/>
      <c r="P134" s="217"/>
      <c r="Q134" s="217"/>
      <c r="R134" s="147"/>
      <c r="S134" s="478"/>
      <c r="T134" s="478"/>
      <c r="U134" s="477"/>
      <c r="V134" s="477"/>
      <c r="W134" s="149"/>
      <c r="X134" s="217"/>
      <c r="Y134" s="217"/>
      <c r="Z134" s="217"/>
      <c r="AA134" s="217"/>
      <c r="AB134" s="147"/>
      <c r="AC134" s="478"/>
      <c r="AD134" s="478"/>
      <c r="AE134" s="477"/>
      <c r="AF134" s="477"/>
      <c r="AG134" s="149"/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</row>
    <row r="135" spans="1:54" s="201" customFormat="1" x14ac:dyDescent="0.25">
      <c r="A135" s="151" t="s">
        <v>70</v>
      </c>
      <c r="B135" s="205">
        <f>SUM(B129*$L$5)+SUM($B$30*1)+SUM($C$30*1)+SUM($D$30*1)+SUM($E$30*1)+SUM($F$30*1)+SUM($G$30*1)+SUM(B130*$L$5)</f>
        <v>73.404800000000009</v>
      </c>
      <c r="C135" s="205">
        <f>SUM(C129*$L$5)+SUM($B$30*2)+SUM($C$30*2)+SUM($D$30*2)+SUM($E$30*2)+SUM($F$30*2)+SUM($G$30*2)+SUM(C130*$L$5)</f>
        <v>84.809599999999989</v>
      </c>
      <c r="D135" s="205">
        <f>SUM(D129*$L$5)+SUM($B$30*3)+SUM($C$30*3)+SUM($D$30*3)+SUM($E$30*3)+SUM($F$30*3)+SUM($G$30*3)+SUM(D130*$L$5)</f>
        <v>100.2144</v>
      </c>
      <c r="E135" s="205">
        <f>SUM(E129*$L$5)+SUM($B$30*4)+SUM($C$30*4)+SUM($D$30*4)+SUM($E$30*4)+SUM($F$30*4)+SUM($G$30*4)+SUM(E130*$L$5)</f>
        <v>115.61920000000001</v>
      </c>
      <c r="F135" s="149"/>
      <c r="G135" s="232"/>
      <c r="H135" s="147"/>
      <c r="I135" s="232"/>
      <c r="J135" s="232"/>
      <c r="K135" s="232"/>
      <c r="L135" s="232"/>
      <c r="M135" s="149"/>
      <c r="N135" s="232"/>
      <c r="O135" s="232"/>
      <c r="P135" s="232"/>
      <c r="Q135" s="232"/>
      <c r="R135" s="147"/>
      <c r="S135" s="223"/>
      <c r="T135" s="223"/>
      <c r="U135" s="223"/>
      <c r="V135" s="223"/>
      <c r="W135" s="149"/>
      <c r="X135" s="232"/>
      <c r="Y135" s="232"/>
      <c r="Z135" s="232"/>
      <c r="AA135" s="232"/>
      <c r="AB135" s="147"/>
      <c r="AC135" s="223"/>
      <c r="AD135" s="223"/>
      <c r="AE135" s="223"/>
      <c r="AF135" s="223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</row>
    <row r="136" spans="1:54" s="216" customFormat="1" ht="13.8" thickBot="1" x14ac:dyDescent="0.3">
      <c r="A136" s="151" t="s">
        <v>71</v>
      </c>
      <c r="B136" s="211">
        <f>B129*$L$6</f>
        <v>31</v>
      </c>
      <c r="C136" s="211">
        <f>C129*$L$6</f>
        <v>31</v>
      </c>
      <c r="D136" s="211">
        <f>D129*$L$6</f>
        <v>33</v>
      </c>
      <c r="E136" s="211">
        <f>E129*$L$6</f>
        <v>35</v>
      </c>
      <c r="F136" s="149"/>
      <c r="G136" s="232"/>
      <c r="H136" s="147"/>
      <c r="I136" s="232"/>
      <c r="J136" s="232"/>
      <c r="K136" s="232"/>
      <c r="L136" s="232"/>
      <c r="M136" s="149"/>
      <c r="N136" s="232"/>
      <c r="O136" s="232"/>
      <c r="P136" s="232"/>
      <c r="Q136" s="232"/>
      <c r="R136" s="180"/>
      <c r="S136" s="225"/>
      <c r="T136" s="225"/>
      <c r="U136" s="225"/>
      <c r="V136" s="225"/>
      <c r="W136" s="186"/>
      <c r="X136" s="232"/>
      <c r="Y136" s="232"/>
      <c r="Z136" s="232"/>
      <c r="AA136" s="232"/>
      <c r="AB136" s="180"/>
      <c r="AC136" s="225"/>
      <c r="AD136" s="225"/>
      <c r="AE136" s="225"/>
      <c r="AF136" s="225"/>
      <c r="AG136" s="186"/>
      <c r="AH136" s="186"/>
      <c r="AI136" s="186"/>
      <c r="AJ136" s="186"/>
      <c r="AK136" s="186"/>
      <c r="AL136" s="186"/>
      <c r="AM136" s="186"/>
      <c r="AN136" s="186"/>
      <c r="AO136" s="186"/>
      <c r="AP136" s="186"/>
      <c r="AQ136" s="186"/>
      <c r="AR136" s="186"/>
      <c r="AS136" s="180"/>
      <c r="AT136" s="180"/>
      <c r="AU136" s="180"/>
      <c r="AV136" s="180"/>
      <c r="AW136" s="180"/>
      <c r="AX136" s="180"/>
      <c r="AY136" s="180"/>
      <c r="AZ136" s="180"/>
      <c r="BA136" s="180"/>
      <c r="BB136" s="180"/>
    </row>
    <row r="137" spans="1:54" s="201" customFormat="1" ht="15" customHeight="1" thickTop="1" x14ac:dyDescent="0.25">
      <c r="A137" s="212" t="s">
        <v>73</v>
      </c>
      <c r="B137" s="213">
        <f>SUM(B134:B136)</f>
        <v>1038.0448000000001</v>
      </c>
      <c r="C137" s="214">
        <f>+C133+C135+C136</f>
        <v>1208.0896000000002</v>
      </c>
      <c r="D137" s="214">
        <f>+D133+D135+D136</f>
        <v>1434.1343999999999</v>
      </c>
      <c r="E137" s="311">
        <f>+E133+E135+E136</f>
        <v>1660.1792</v>
      </c>
      <c r="F137" s="186"/>
      <c r="G137" s="217"/>
      <c r="H137" s="180"/>
      <c r="I137" s="217"/>
      <c r="J137" s="217"/>
      <c r="K137" s="217"/>
      <c r="L137" s="217"/>
      <c r="M137" s="186"/>
      <c r="N137" s="217"/>
      <c r="O137" s="217"/>
      <c r="P137" s="217"/>
      <c r="Q137" s="217"/>
      <c r="R137" s="147"/>
      <c r="S137" s="147"/>
      <c r="T137" s="147"/>
      <c r="U137" s="147"/>
      <c r="V137" s="147"/>
      <c r="W137" s="149"/>
      <c r="X137" s="217"/>
      <c r="Y137" s="217"/>
      <c r="Z137" s="217"/>
      <c r="AA137" s="217"/>
      <c r="AB137" s="147"/>
      <c r="AC137" s="147"/>
      <c r="AD137" s="147"/>
      <c r="AE137" s="147"/>
      <c r="AF137" s="147"/>
      <c r="AG137" s="149"/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</row>
    <row r="138" spans="1:54" s="201" customFormat="1" ht="15" customHeight="1" x14ac:dyDescent="0.25">
      <c r="A138" s="212" t="s">
        <v>72</v>
      </c>
      <c r="B138" s="238">
        <f>B137/1</f>
        <v>1038.0448000000001</v>
      </c>
      <c r="C138" s="239">
        <f>C137/2</f>
        <v>604.04480000000012</v>
      </c>
      <c r="D138" s="239">
        <f>D137/3</f>
        <v>478.04479999999995</v>
      </c>
      <c r="E138" s="310">
        <f>E137/4</f>
        <v>415.04480000000001</v>
      </c>
      <c r="F138" s="186" t="s">
        <v>15</v>
      </c>
      <c r="G138" s="217"/>
      <c r="H138" s="186"/>
      <c r="I138" s="217"/>
      <c r="J138" s="217"/>
      <c r="K138" s="217"/>
      <c r="L138" s="217"/>
      <c r="M138" s="186"/>
      <c r="N138" s="217"/>
      <c r="O138" s="217"/>
      <c r="P138" s="217"/>
      <c r="Q138" s="217"/>
      <c r="R138" s="147"/>
      <c r="S138" s="478"/>
      <c r="T138" s="478"/>
      <c r="U138" s="477"/>
      <c r="V138" s="477"/>
      <c r="W138" s="149"/>
      <c r="X138" s="217"/>
      <c r="Y138" s="217"/>
      <c r="Z138" s="217"/>
      <c r="AA138" s="217"/>
      <c r="AB138" s="147"/>
      <c r="AC138" s="478"/>
      <c r="AD138" s="478"/>
      <c r="AE138" s="477"/>
      <c r="AF138" s="477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</row>
    <row r="139" spans="1:54" x14ac:dyDescent="0.25">
      <c r="W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</row>
    <row r="140" spans="1:54" x14ac:dyDescent="0.25">
      <c r="W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</row>
    <row r="141" spans="1:54" x14ac:dyDescent="0.25">
      <c r="W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</row>
    <row r="142" spans="1:54" x14ac:dyDescent="0.25">
      <c r="W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</row>
    <row r="143" spans="1:54" x14ac:dyDescent="0.25">
      <c r="W143" s="149"/>
      <c r="AG143" s="149"/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</row>
    <row r="144" spans="1:54" x14ac:dyDescent="0.25">
      <c r="W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</row>
    <row r="145" spans="23:44" x14ac:dyDescent="0.25">
      <c r="W145" s="149"/>
      <c r="AG145" s="149"/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</row>
    <row r="146" spans="23:44" x14ac:dyDescent="0.25">
      <c r="W146" s="149"/>
      <c r="AG146" s="149"/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</row>
    <row r="147" spans="23:44" x14ac:dyDescent="0.25">
      <c r="W147" s="149"/>
      <c r="AG147" s="149"/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</row>
  </sheetData>
  <protectedRanges>
    <protectedRange password="C46D" sqref="A32:A138" name="Range1"/>
  </protectedRanges>
  <mergeCells count="75">
    <mergeCell ref="A2:E2"/>
    <mergeCell ref="A3:A4"/>
    <mergeCell ref="B3:B4"/>
    <mergeCell ref="C3:C4"/>
    <mergeCell ref="D3:D4"/>
    <mergeCell ref="E3:E4"/>
    <mergeCell ref="B32:E32"/>
    <mergeCell ref="S96:T96"/>
    <mergeCell ref="D71:E71"/>
    <mergeCell ref="K71:L71"/>
    <mergeCell ref="B83:E83"/>
    <mergeCell ref="P85:Q85"/>
    <mergeCell ref="B56:E56"/>
    <mergeCell ref="B57:E57"/>
    <mergeCell ref="N56:Q56"/>
    <mergeCell ref="S57:V57"/>
    <mergeCell ref="S92:T92"/>
    <mergeCell ref="U92:V92"/>
    <mergeCell ref="X56:AA56"/>
    <mergeCell ref="U96:V96"/>
    <mergeCell ref="B33:E33"/>
    <mergeCell ref="I33:L33"/>
    <mergeCell ref="I56:L56"/>
    <mergeCell ref="S56:V56"/>
    <mergeCell ref="B70:E70"/>
    <mergeCell ref="I70:L70"/>
    <mergeCell ref="I57:L57"/>
    <mergeCell ref="N57:Q57"/>
    <mergeCell ref="Q70:T70"/>
    <mergeCell ref="S33:V33"/>
    <mergeCell ref="B84:E84"/>
    <mergeCell ref="AC92:AD92"/>
    <mergeCell ref="AE92:AF92"/>
    <mergeCell ref="X57:AA57"/>
    <mergeCell ref="AC57:AF57"/>
    <mergeCell ref="AA70:AD70"/>
    <mergeCell ref="B126:G126"/>
    <mergeCell ref="AE110:AF110"/>
    <mergeCell ref="F3:F4"/>
    <mergeCell ref="G3:G4"/>
    <mergeCell ref="F71:G71"/>
    <mergeCell ref="AC96:AD96"/>
    <mergeCell ref="AE96:AF96"/>
    <mergeCell ref="AC106:AD106"/>
    <mergeCell ref="AE106:AF106"/>
    <mergeCell ref="Z85:AA85"/>
    <mergeCell ref="N33:Q33"/>
    <mergeCell ref="Z71:Z83"/>
    <mergeCell ref="I84:L84"/>
    <mergeCell ref="X33:AA33"/>
    <mergeCell ref="AC33:AF33"/>
    <mergeCell ref="AC56:AF56"/>
    <mergeCell ref="B98:E98"/>
    <mergeCell ref="S110:T110"/>
    <mergeCell ref="AE120:AF120"/>
    <mergeCell ref="S124:T124"/>
    <mergeCell ref="U124:V124"/>
    <mergeCell ref="AC124:AD124"/>
    <mergeCell ref="AE124:AF124"/>
    <mergeCell ref="B112:E112"/>
    <mergeCell ref="S120:T120"/>
    <mergeCell ref="U120:V120"/>
    <mergeCell ref="AC120:AD120"/>
    <mergeCell ref="AC110:AD110"/>
    <mergeCell ref="U110:V110"/>
    <mergeCell ref="S106:T106"/>
    <mergeCell ref="U106:V106"/>
    <mergeCell ref="AE134:AF134"/>
    <mergeCell ref="S138:T138"/>
    <mergeCell ref="U138:V138"/>
    <mergeCell ref="AC138:AD138"/>
    <mergeCell ref="AE138:AF138"/>
    <mergeCell ref="S134:T134"/>
    <mergeCell ref="U134:V134"/>
    <mergeCell ref="AC134:AD134"/>
  </mergeCells>
  <phoneticPr fontId="0" type="noConversion"/>
  <pageMargins left="0.31" right="0.18" top="0.92" bottom="0.22" header="0.42" footer="0.18"/>
  <pageSetup scale="82" orientation="landscape" r:id="rId1"/>
  <headerFooter alignWithMargins="0">
    <oddHeader>&amp;COVERNIGHT PACKAGE DETAILS</oddHeader>
    <oddFooter>&amp;R&amp;D  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OP1N">
                <anchor moveWithCells="1" sizeWithCells="1">
                  <from>
                    <xdr:col>0</xdr:col>
                    <xdr:colOff>1805940</xdr:colOff>
                    <xdr:row>0</xdr:row>
                    <xdr:rowOff>182880</xdr:rowOff>
                  </from>
                  <to>
                    <xdr:col>3</xdr:col>
                    <xdr:colOff>53340</xdr:colOff>
                    <xdr:row>0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Button 2">
              <controlPr defaultSize="0" print="0" autoFill="0" autoPict="0" macro="[0]!OP2N">
                <anchor moveWithCells="1" sizeWithCells="1">
                  <from>
                    <xdr:col>3</xdr:col>
                    <xdr:colOff>281940</xdr:colOff>
                    <xdr:row>0</xdr:row>
                    <xdr:rowOff>175260</xdr:rowOff>
                  </from>
                  <to>
                    <xdr:col>7</xdr:col>
                    <xdr:colOff>434340</xdr:colOff>
                    <xdr:row>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Button 3">
              <controlPr defaultSize="0" print="0" autoFill="0" autoPict="0" macro="[0]!OP3N">
                <anchor moveWithCells="1" sizeWithCells="1">
                  <from>
                    <xdr:col>8</xdr:col>
                    <xdr:colOff>129540</xdr:colOff>
                    <xdr:row>0</xdr:row>
                    <xdr:rowOff>167640</xdr:rowOff>
                  </from>
                  <to>
                    <xdr:col>10</xdr:col>
                    <xdr:colOff>281940</xdr:colOff>
                    <xdr:row>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Button 4">
              <controlPr defaultSize="0" print="0" autoFill="0" autoPict="0" macro="[0]!OPAN">
                <anchor moveWithCells="1" sizeWithCells="1">
                  <from>
                    <xdr:col>0</xdr:col>
                    <xdr:colOff>251460</xdr:colOff>
                    <xdr:row>0</xdr:row>
                    <xdr:rowOff>205740</xdr:rowOff>
                  </from>
                  <to>
                    <xdr:col>0</xdr:col>
                    <xdr:colOff>1546860</xdr:colOff>
                    <xdr:row>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Button 5">
              <controlPr defaultSize="0" print="0" autoFill="0" autoPict="0" macro="[0]!OPSA">
                <anchor moveWithCells="1" sizeWithCells="1">
                  <from>
                    <xdr:col>10</xdr:col>
                    <xdr:colOff>533400</xdr:colOff>
                    <xdr:row>0</xdr:row>
                    <xdr:rowOff>144780</xdr:rowOff>
                  </from>
                  <to>
                    <xdr:col>13</xdr:col>
                    <xdr:colOff>167640</xdr:colOff>
                    <xdr:row>0</xdr:row>
                    <xdr:rowOff>350520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AB71"/>
  <sheetViews>
    <sheetView tabSelected="1" zoomScale="60" zoomScaleNormal="60" workbookViewId="0">
      <selection activeCell="A33" sqref="A33"/>
    </sheetView>
  </sheetViews>
  <sheetFormatPr defaultColWidth="9.109375" defaultRowHeight="14.4" x14ac:dyDescent="0.3"/>
  <cols>
    <col min="1" max="1" width="20.6640625" style="324" customWidth="1"/>
    <col min="2" max="2" width="5.6640625" style="343" customWidth="1"/>
    <col min="3" max="3" width="20.6640625" style="324" customWidth="1"/>
    <col min="4" max="4" width="5.6640625" style="343" customWidth="1"/>
    <col min="5" max="5" width="20.6640625" style="324" customWidth="1"/>
    <col min="6" max="6" width="5.6640625" style="343" customWidth="1"/>
    <col min="7" max="7" width="20.6640625" style="324" customWidth="1"/>
    <col min="8" max="9" width="5.6640625" style="324" customWidth="1"/>
    <col min="10" max="10" width="20.6640625" style="324" customWidth="1"/>
    <col min="11" max="11" width="5.6640625" style="324" customWidth="1"/>
    <col min="12" max="12" width="20.6640625" style="324" customWidth="1"/>
    <col min="13" max="13" width="5.6640625" style="324" customWidth="1"/>
    <col min="14" max="14" width="20.6640625" style="324" customWidth="1"/>
    <col min="15" max="16" width="4.6640625" style="324" customWidth="1"/>
    <col min="17" max="18" width="10.6640625" style="324" customWidth="1"/>
    <col min="19" max="19" width="10.6640625" style="326" customWidth="1"/>
    <col min="20" max="24" width="10.6640625" style="324" customWidth="1"/>
    <col min="25" max="25" width="32.6640625" style="324" bestFit="1" customWidth="1"/>
    <col min="26" max="26" width="12" style="324" customWidth="1"/>
    <col min="27" max="16384" width="9.109375" style="324"/>
  </cols>
  <sheetData>
    <row r="1" spans="1:26" s="320" customFormat="1" ht="20.100000000000001" customHeight="1" x14ac:dyDescent="0.45">
      <c r="A1" s="357" t="s">
        <v>129</v>
      </c>
      <c r="B1" s="318"/>
      <c r="C1" s="319"/>
      <c r="D1" s="318"/>
      <c r="E1" s="319"/>
      <c r="F1" s="318"/>
      <c r="G1" s="319"/>
      <c r="H1" s="319"/>
      <c r="I1" s="357" t="s">
        <v>140</v>
      </c>
      <c r="J1" s="319"/>
      <c r="K1" s="319"/>
      <c r="L1" s="319"/>
      <c r="M1" s="319"/>
      <c r="N1" s="319"/>
      <c r="S1" s="358"/>
    </row>
    <row r="2" spans="1:26" s="320" customFormat="1" ht="20.100000000000001" customHeight="1" x14ac:dyDescent="0.45">
      <c r="A2" s="357" t="s">
        <v>128</v>
      </c>
      <c r="B2" s="318"/>
      <c r="C2" s="319"/>
      <c r="D2" s="318"/>
      <c r="E2" s="319"/>
      <c r="F2" s="318"/>
      <c r="G2" s="319"/>
      <c r="H2" s="319"/>
      <c r="I2" s="357" t="s">
        <v>141</v>
      </c>
      <c r="J2" s="319"/>
      <c r="K2" s="319"/>
      <c r="L2" s="319"/>
      <c r="M2" s="319"/>
      <c r="N2" s="319"/>
      <c r="Q2" s="359"/>
      <c r="R2" s="359"/>
      <c r="S2" s="360"/>
      <c r="T2" s="359"/>
    </row>
    <row r="3" spans="1:26" s="320" customFormat="1" ht="20.100000000000001" customHeight="1" x14ac:dyDescent="0.45">
      <c r="A3" s="460" t="s">
        <v>152</v>
      </c>
      <c r="B3" s="318"/>
      <c r="C3" s="319"/>
      <c r="D3" s="318"/>
      <c r="E3" s="319"/>
      <c r="F3" s="318"/>
      <c r="G3" s="319"/>
      <c r="H3" s="319"/>
      <c r="I3" s="357" t="s">
        <v>142</v>
      </c>
      <c r="J3" s="319"/>
      <c r="K3" s="319"/>
      <c r="L3" s="319"/>
      <c r="M3" s="319"/>
      <c r="N3" s="319"/>
      <c r="S3" s="358"/>
      <c r="U3" s="361"/>
      <c r="V3" s="361"/>
      <c r="W3" s="361"/>
      <c r="X3" s="361"/>
    </row>
    <row r="4" spans="1:26" ht="20.100000000000001" customHeight="1" x14ac:dyDescent="0.45">
      <c r="A4" s="323"/>
      <c r="B4" s="322"/>
      <c r="C4" s="323"/>
      <c r="D4" s="322"/>
      <c r="E4" s="323"/>
      <c r="F4" s="322"/>
      <c r="G4" s="323"/>
      <c r="H4" s="323"/>
      <c r="I4" s="357" t="s">
        <v>150</v>
      </c>
      <c r="J4" s="323"/>
      <c r="K4" s="323"/>
      <c r="L4" s="323"/>
      <c r="M4" s="323"/>
      <c r="N4" s="323"/>
      <c r="U4" s="331"/>
      <c r="V4" s="331"/>
      <c r="W4" s="331"/>
      <c r="X4" s="331"/>
    </row>
    <row r="5" spans="1:26" ht="15" customHeight="1" x14ac:dyDescent="0.3">
      <c r="A5" s="323"/>
      <c r="B5" s="322"/>
      <c r="C5" s="323"/>
      <c r="D5" s="322"/>
      <c r="E5" s="323"/>
      <c r="F5" s="322"/>
      <c r="G5" s="323"/>
      <c r="H5" s="323"/>
      <c r="I5" s="323"/>
      <c r="J5" s="323"/>
      <c r="K5" s="319"/>
      <c r="L5" s="323"/>
      <c r="M5" s="323"/>
      <c r="N5" s="323"/>
      <c r="U5" s="331"/>
      <c r="V5" s="331"/>
      <c r="W5" s="331"/>
      <c r="X5" s="331"/>
    </row>
    <row r="6" spans="1:26" s="327" customFormat="1" ht="93.75" customHeight="1" x14ac:dyDescent="0.25">
      <c r="A6" s="515" t="s">
        <v>153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S6" s="362"/>
      <c r="W6" s="327" t="s">
        <v>85</v>
      </c>
      <c r="X6" s="327" t="s">
        <v>85</v>
      </c>
    </row>
    <row r="7" spans="1:26" s="327" customFormat="1" ht="19.5" customHeight="1" x14ac:dyDescent="0.25">
      <c r="A7" s="463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S7" s="362"/>
      <c r="U7" s="465"/>
      <c r="V7" s="465"/>
      <c r="W7" s="465"/>
      <c r="X7" s="465"/>
      <c r="Y7" s="465"/>
    </row>
    <row r="8" spans="1:26" s="397" customFormat="1" ht="20.100000000000001" customHeight="1" x14ac:dyDescent="0.35">
      <c r="A8" s="440"/>
      <c r="B8" s="398"/>
      <c r="C8" s="398"/>
      <c r="D8" s="398"/>
      <c r="E8" s="398"/>
      <c r="F8" s="398"/>
      <c r="G8" s="398"/>
      <c r="H8" s="398"/>
      <c r="I8" s="440"/>
      <c r="J8" s="398"/>
      <c r="K8" s="398"/>
      <c r="L8" s="398"/>
      <c r="M8" s="398"/>
      <c r="N8" s="398"/>
      <c r="O8" s="398"/>
      <c r="P8" s="399"/>
      <c r="Q8" s="394" t="s">
        <v>85</v>
      </c>
      <c r="R8" s="394" t="s">
        <v>85</v>
      </c>
      <c r="S8" s="395" t="s">
        <v>85</v>
      </c>
      <c r="T8" s="394" t="s">
        <v>85</v>
      </c>
      <c r="U8" s="466" t="s">
        <v>85</v>
      </c>
      <c r="V8" s="466" t="s">
        <v>85</v>
      </c>
      <c r="W8" s="466" t="s">
        <v>85</v>
      </c>
      <c r="X8" s="466" t="s">
        <v>85</v>
      </c>
      <c r="Y8" s="470" t="s">
        <v>85</v>
      </c>
    </row>
    <row r="9" spans="1:26" s="401" customFormat="1" ht="20.100000000000001" customHeight="1" x14ac:dyDescent="0.4">
      <c r="A9" s="376" t="s">
        <v>131</v>
      </c>
      <c r="B9" s="377"/>
      <c r="C9" s="377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9"/>
      <c r="Q9" s="400" t="s">
        <v>85</v>
      </c>
      <c r="R9" s="400" t="s">
        <v>85</v>
      </c>
      <c r="S9" s="400" t="s">
        <v>85</v>
      </c>
      <c r="T9" s="400" t="s">
        <v>85</v>
      </c>
      <c r="U9" s="467" t="s">
        <v>85</v>
      </c>
      <c r="V9" s="467" t="s">
        <v>85</v>
      </c>
      <c r="W9" s="467" t="s">
        <v>85</v>
      </c>
      <c r="X9" s="467" t="s">
        <v>85</v>
      </c>
      <c r="Y9" s="471" t="s">
        <v>85</v>
      </c>
      <c r="Z9" s="397"/>
    </row>
    <row r="10" spans="1:26" s="401" customFormat="1" ht="20.100000000000001" customHeight="1" x14ac:dyDescent="0.4">
      <c r="A10" s="380">
        <v>45413</v>
      </c>
      <c r="B10" s="381"/>
      <c r="C10" s="381" t="s">
        <v>132</v>
      </c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3"/>
      <c r="Q10" s="402" t="s">
        <v>85</v>
      </c>
      <c r="R10" s="402" t="s">
        <v>85</v>
      </c>
      <c r="S10" s="403" t="s">
        <v>85</v>
      </c>
      <c r="T10" s="402" t="s">
        <v>85</v>
      </c>
      <c r="U10" s="468" t="s">
        <v>85</v>
      </c>
      <c r="V10" s="468" t="s">
        <v>85</v>
      </c>
      <c r="W10" s="468" t="s">
        <v>85</v>
      </c>
      <c r="X10" s="468" t="s">
        <v>85</v>
      </c>
      <c r="Y10" s="472" t="s">
        <v>85</v>
      </c>
      <c r="Z10" s="397"/>
    </row>
    <row r="11" spans="1:26" s="401" customFormat="1" ht="20.100000000000001" customHeight="1" x14ac:dyDescent="0.4">
      <c r="A11" s="380">
        <f>+A10+1</f>
        <v>45414</v>
      </c>
      <c r="B11" s="381"/>
      <c r="C11" s="520" t="s">
        <v>135</v>
      </c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1"/>
      <c r="Q11" s="406"/>
      <c r="R11" s="397"/>
      <c r="S11" s="405"/>
      <c r="T11" s="397" t="s">
        <v>85</v>
      </c>
      <c r="U11" s="473" t="s">
        <v>85</v>
      </c>
      <c r="V11" s="471"/>
      <c r="W11" s="469" t="s">
        <v>85</v>
      </c>
      <c r="X11" s="469"/>
      <c r="Y11" s="470" t="s">
        <v>85</v>
      </c>
      <c r="Z11" s="396"/>
    </row>
    <row r="12" spans="1:26" s="401" customFormat="1" ht="20.100000000000001" customHeight="1" x14ac:dyDescent="0.4">
      <c r="A12" s="380">
        <f>+A11+1</f>
        <v>45415</v>
      </c>
      <c r="B12" s="381"/>
      <c r="C12" s="381" t="s">
        <v>130</v>
      </c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3"/>
      <c r="Q12" s="406"/>
      <c r="R12" s="397"/>
      <c r="S12" s="405"/>
      <c r="T12" s="397"/>
      <c r="U12" s="473" t="s">
        <v>85</v>
      </c>
      <c r="V12" s="471"/>
      <c r="W12" s="469" t="s">
        <v>85</v>
      </c>
      <c r="X12" s="469"/>
      <c r="Y12" s="470" t="s">
        <v>85</v>
      </c>
      <c r="Z12" s="396"/>
    </row>
    <row r="13" spans="1:26" s="404" customFormat="1" ht="20.100000000000001" customHeight="1" x14ac:dyDescent="0.35">
      <c r="A13" s="384"/>
      <c r="B13" s="418"/>
      <c r="C13" s="418"/>
      <c r="D13" s="418"/>
      <c r="E13" s="525" t="s">
        <v>103</v>
      </c>
      <c r="F13" s="525"/>
      <c r="G13" s="525"/>
      <c r="H13" s="525"/>
      <c r="I13" s="525"/>
      <c r="J13" s="386"/>
      <c r="K13" s="428" t="s">
        <v>112</v>
      </c>
      <c r="L13" s="382"/>
      <c r="M13" s="382"/>
      <c r="N13" s="383"/>
      <c r="Q13" s="396"/>
      <c r="R13" s="397"/>
      <c r="S13" s="405"/>
      <c r="T13" s="397"/>
      <c r="U13" s="471"/>
      <c r="V13" s="471"/>
      <c r="W13" s="474"/>
      <c r="X13" s="474"/>
      <c r="Y13" s="471"/>
      <c r="Z13" s="396"/>
    </row>
    <row r="14" spans="1:26" s="396" customFormat="1" ht="20.100000000000001" customHeight="1" x14ac:dyDescent="0.35">
      <c r="A14" s="522" t="s">
        <v>138</v>
      </c>
      <c r="B14" s="523"/>
      <c r="C14" s="523"/>
      <c r="D14" s="352"/>
      <c r="E14" s="385" t="s">
        <v>114</v>
      </c>
      <c r="F14" s="385"/>
      <c r="G14" s="385" t="s">
        <v>113</v>
      </c>
      <c r="H14" s="385"/>
      <c r="I14" s="382"/>
      <c r="J14" s="382"/>
      <c r="K14" s="431"/>
      <c r="L14" s="386"/>
      <c r="M14" s="382"/>
      <c r="N14" s="383"/>
      <c r="O14" s="407"/>
      <c r="P14" s="408"/>
      <c r="Q14" s="409"/>
      <c r="R14" s="397"/>
      <c r="S14" s="405"/>
      <c r="T14" s="397"/>
      <c r="U14" s="473" t="s">
        <v>85</v>
      </c>
      <c r="V14" s="471"/>
      <c r="W14" s="469" t="s">
        <v>85</v>
      </c>
      <c r="X14" s="469"/>
      <c r="Y14" s="471" t="s">
        <v>85</v>
      </c>
    </row>
    <row r="15" spans="1:26" s="321" customFormat="1" ht="20.100000000000001" customHeight="1" x14ac:dyDescent="0.35">
      <c r="A15" s="516" t="s">
        <v>145</v>
      </c>
      <c r="B15" s="517"/>
      <c r="C15" s="517"/>
      <c r="D15" s="425"/>
      <c r="E15" s="390">
        <v>550</v>
      </c>
      <c r="F15" s="390"/>
      <c r="G15" s="390">
        <v>405</v>
      </c>
      <c r="H15" s="390"/>
      <c r="I15" s="382"/>
      <c r="J15" s="382"/>
      <c r="K15" s="431" t="s">
        <v>143</v>
      </c>
      <c r="L15" s="386"/>
      <c r="M15" s="382"/>
      <c r="N15" s="383"/>
      <c r="O15" s="339"/>
      <c r="P15" s="340"/>
      <c r="Q15" s="397"/>
      <c r="R15" s="397"/>
      <c r="S15" s="405"/>
      <c r="T15" s="397"/>
      <c r="U15" s="474" t="s">
        <v>85</v>
      </c>
      <c r="V15" s="471"/>
      <c r="W15" s="474" t="s">
        <v>85</v>
      </c>
      <c r="X15" s="474"/>
      <c r="Y15" s="471"/>
      <c r="Z15" s="410"/>
    </row>
    <row r="16" spans="1:26" s="321" customFormat="1" ht="20.100000000000001" customHeight="1" x14ac:dyDescent="0.35">
      <c r="A16" s="516" t="s">
        <v>146</v>
      </c>
      <c r="B16" s="517"/>
      <c r="C16" s="517"/>
      <c r="D16" s="352"/>
      <c r="E16" s="390">
        <v>500</v>
      </c>
      <c r="F16" s="390"/>
      <c r="G16" s="390">
        <v>370</v>
      </c>
      <c r="H16" s="388"/>
      <c r="I16" s="382"/>
      <c r="J16" s="382"/>
      <c r="K16" s="431" t="s">
        <v>139</v>
      </c>
      <c r="L16" s="386"/>
      <c r="M16" s="382"/>
      <c r="N16" s="383"/>
      <c r="O16" s="341"/>
      <c r="P16" s="340"/>
      <c r="Q16" s="394" t="s">
        <v>85</v>
      </c>
      <c r="R16" s="394" t="s">
        <v>85</v>
      </c>
      <c r="S16" s="394" t="s">
        <v>85</v>
      </c>
      <c r="T16" s="394" t="s">
        <v>85</v>
      </c>
      <c r="U16" s="466" t="s">
        <v>85</v>
      </c>
      <c r="V16" s="466" t="s">
        <v>85</v>
      </c>
      <c r="W16" s="466" t="s">
        <v>85</v>
      </c>
      <c r="X16" s="466" t="s">
        <v>85</v>
      </c>
      <c r="Y16" s="470" t="s">
        <v>85</v>
      </c>
      <c r="Z16" s="394" t="s">
        <v>85</v>
      </c>
    </row>
    <row r="17" spans="1:28" s="321" customFormat="1" ht="20.100000000000001" customHeight="1" x14ac:dyDescent="0.35">
      <c r="A17" s="518" t="s">
        <v>147</v>
      </c>
      <c r="B17" s="519"/>
      <c r="C17" s="519"/>
      <c r="D17" s="352"/>
      <c r="E17" s="419" t="s">
        <v>85</v>
      </c>
      <c r="F17" s="419"/>
      <c r="G17" s="419" t="s">
        <v>85</v>
      </c>
      <c r="H17" s="388"/>
      <c r="I17" s="382"/>
      <c r="J17" s="382"/>
      <c r="K17" s="351" t="s">
        <v>144</v>
      </c>
      <c r="L17" s="382"/>
      <c r="M17" s="382"/>
      <c r="N17" s="383"/>
      <c r="O17" s="339"/>
      <c r="P17" s="340"/>
      <c r="Q17" s="394" t="s">
        <v>85</v>
      </c>
      <c r="R17" s="394" t="s">
        <v>85</v>
      </c>
      <c r="S17" s="394" t="s">
        <v>85</v>
      </c>
      <c r="T17" s="394" t="s">
        <v>85</v>
      </c>
      <c r="U17" s="466" t="s">
        <v>85</v>
      </c>
      <c r="V17" s="466" t="s">
        <v>85</v>
      </c>
      <c r="W17" s="466" t="s">
        <v>85</v>
      </c>
      <c r="X17" s="466" t="s">
        <v>85</v>
      </c>
      <c r="Y17" s="470" t="s">
        <v>85</v>
      </c>
      <c r="Z17" s="394" t="s">
        <v>85</v>
      </c>
    </row>
    <row r="18" spans="1:28" s="319" customFormat="1" ht="20.100000000000001" customHeight="1" x14ac:dyDescent="0.35">
      <c r="A18" s="524" t="s">
        <v>148</v>
      </c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6"/>
      <c r="O18" s="401"/>
      <c r="P18" s="401"/>
      <c r="Q18" s="394" t="s">
        <v>85</v>
      </c>
      <c r="R18" s="394" t="s">
        <v>85</v>
      </c>
      <c r="S18" s="394" t="s">
        <v>85</v>
      </c>
      <c r="T18" s="394" t="s">
        <v>85</v>
      </c>
      <c r="U18" s="466" t="s">
        <v>85</v>
      </c>
      <c r="V18" s="466" t="s">
        <v>85</v>
      </c>
      <c r="W18" s="466" t="s">
        <v>85</v>
      </c>
      <c r="X18" s="466" t="s">
        <v>85</v>
      </c>
      <c r="Y18" s="470" t="s">
        <v>85</v>
      </c>
      <c r="Z18" s="394" t="s">
        <v>85</v>
      </c>
      <c r="AA18" s="401"/>
      <c r="AB18" s="401"/>
    </row>
    <row r="19" spans="1:28" s="329" customFormat="1" ht="20.100000000000001" customHeight="1" x14ac:dyDescent="0.25">
      <c r="A19" s="527"/>
      <c r="B19" s="528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9"/>
      <c r="O19" s="404"/>
      <c r="P19" s="404"/>
      <c r="Q19" s="461" t="s">
        <v>85</v>
      </c>
      <c r="R19" s="461" t="s">
        <v>85</v>
      </c>
      <c r="S19" s="461" t="s">
        <v>85</v>
      </c>
      <c r="T19" s="461" t="s">
        <v>85</v>
      </c>
      <c r="U19" s="475"/>
      <c r="V19" s="475"/>
      <c r="W19" s="475"/>
      <c r="X19" s="475"/>
      <c r="Y19" s="475"/>
      <c r="AA19" s="404"/>
      <c r="AB19" s="404"/>
    </row>
    <row r="20" spans="1:28" s="329" customFormat="1" ht="20.100000000000001" customHeight="1" x14ac:dyDescent="0.3">
      <c r="A20" s="356"/>
      <c r="B20" s="334"/>
      <c r="C20" s="334"/>
      <c r="D20" s="334"/>
      <c r="E20" s="334"/>
      <c r="F20" s="334"/>
      <c r="G20" s="334"/>
      <c r="H20" s="334"/>
      <c r="I20" s="356"/>
      <c r="J20" s="334"/>
      <c r="K20" s="334"/>
      <c r="L20" s="334"/>
      <c r="M20" s="334"/>
      <c r="N20" s="334"/>
      <c r="O20" s="404"/>
      <c r="P20" s="404"/>
      <c r="U20" s="475"/>
      <c r="V20" s="475"/>
      <c r="W20" s="475"/>
      <c r="X20" s="475" t="s">
        <v>85</v>
      </c>
      <c r="Y20" s="475"/>
      <c r="AA20" s="404"/>
    </row>
    <row r="21" spans="1:28" s="319" customFormat="1" ht="20.100000000000001" customHeight="1" x14ac:dyDescent="0.4">
      <c r="A21" s="376" t="s">
        <v>133</v>
      </c>
      <c r="B21" s="377"/>
      <c r="C21" s="377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9"/>
      <c r="O21" s="401"/>
      <c r="P21" s="401"/>
      <c r="Q21" s="401"/>
      <c r="R21" s="394" t="s">
        <v>85</v>
      </c>
      <c r="S21" s="394"/>
      <c r="T21" s="394" t="s">
        <v>85</v>
      </c>
      <c r="U21" s="466"/>
      <c r="V21" s="466" t="s">
        <v>85</v>
      </c>
      <c r="W21" s="466"/>
      <c r="X21" s="466" t="s">
        <v>85</v>
      </c>
      <c r="Y21" s="470" t="s">
        <v>85</v>
      </c>
      <c r="Z21" s="394" t="s">
        <v>85</v>
      </c>
    </row>
    <row r="22" spans="1:28" s="319" customFormat="1" ht="20.100000000000001" customHeight="1" x14ac:dyDescent="0.4">
      <c r="A22" s="380">
        <v>45413</v>
      </c>
      <c r="B22" s="381"/>
      <c r="C22" s="520" t="s">
        <v>132</v>
      </c>
      <c r="D22" s="520"/>
      <c r="E22" s="520"/>
      <c r="F22" s="520"/>
      <c r="G22" s="520"/>
      <c r="H22" s="520"/>
      <c r="I22" s="520"/>
      <c r="J22" s="520"/>
      <c r="K22" s="520"/>
      <c r="L22" s="520"/>
      <c r="M22" s="520"/>
      <c r="N22" s="521"/>
      <c r="O22" s="401"/>
      <c r="P22" s="401"/>
      <c r="Q22" s="401"/>
      <c r="R22" s="394" t="s">
        <v>85</v>
      </c>
      <c r="S22" s="394"/>
      <c r="T22" s="394" t="s">
        <v>85</v>
      </c>
      <c r="U22" s="466"/>
      <c r="V22" s="466" t="s">
        <v>85</v>
      </c>
      <c r="W22" s="466"/>
      <c r="X22" s="466" t="s">
        <v>85</v>
      </c>
      <c r="Y22" s="470" t="s">
        <v>85</v>
      </c>
      <c r="Z22" s="394" t="s">
        <v>85</v>
      </c>
    </row>
    <row r="23" spans="1:28" s="319" customFormat="1" ht="20.100000000000001" customHeight="1" x14ac:dyDescent="0.4">
      <c r="A23" s="380">
        <f>+A22+1</f>
        <v>45414</v>
      </c>
      <c r="B23" s="381"/>
      <c r="C23" s="520" t="s">
        <v>130</v>
      </c>
      <c r="D23" s="520"/>
      <c r="E23" s="520"/>
      <c r="F23" s="520"/>
      <c r="G23" s="520"/>
      <c r="H23" s="520"/>
      <c r="I23" s="520"/>
      <c r="J23" s="520"/>
      <c r="K23" s="520"/>
      <c r="L23" s="520"/>
      <c r="M23" s="520"/>
      <c r="N23" s="521"/>
      <c r="O23" s="401"/>
      <c r="P23" s="401"/>
      <c r="Q23" s="401"/>
      <c r="R23" s="394" t="s">
        <v>85</v>
      </c>
      <c r="S23" s="394"/>
      <c r="T23" s="394" t="s">
        <v>85</v>
      </c>
      <c r="U23" s="466"/>
      <c r="V23" s="466" t="s">
        <v>85</v>
      </c>
      <c r="W23" s="466"/>
      <c r="X23" s="466" t="s">
        <v>85</v>
      </c>
      <c r="Y23" s="470" t="s">
        <v>85</v>
      </c>
      <c r="Z23" s="394" t="s">
        <v>85</v>
      </c>
    </row>
    <row r="24" spans="1:28" s="329" customFormat="1" ht="20.100000000000001" customHeight="1" x14ac:dyDescent="0.35">
      <c r="A24" s="384"/>
      <c r="B24" s="418"/>
      <c r="C24" s="418"/>
      <c r="D24" s="418"/>
      <c r="E24" s="525" t="s">
        <v>103</v>
      </c>
      <c r="F24" s="525"/>
      <c r="G24" s="525"/>
      <c r="H24" s="525"/>
      <c r="I24" s="525"/>
      <c r="J24" s="386"/>
      <c r="K24" s="428" t="s">
        <v>112</v>
      </c>
      <c r="L24" s="382"/>
      <c r="M24" s="382"/>
      <c r="N24" s="383"/>
      <c r="R24" s="462" t="s">
        <v>85</v>
      </c>
      <c r="S24" s="363"/>
      <c r="T24" s="462" t="s">
        <v>85</v>
      </c>
      <c r="U24" s="475"/>
      <c r="V24" s="475"/>
      <c r="W24" s="475"/>
      <c r="X24" s="475"/>
      <c r="Y24" s="475"/>
    </row>
    <row r="25" spans="1:28" s="321" customFormat="1" ht="20.100000000000001" customHeight="1" x14ac:dyDescent="0.35">
      <c r="A25" s="522" t="s">
        <v>137</v>
      </c>
      <c r="B25" s="523"/>
      <c r="C25" s="523"/>
      <c r="D25" s="352"/>
      <c r="E25" s="385" t="s">
        <v>114</v>
      </c>
      <c r="F25" s="385"/>
      <c r="G25" s="385" t="s">
        <v>113</v>
      </c>
      <c r="H25" s="385"/>
      <c r="I25" s="382"/>
      <c r="J25" s="382"/>
      <c r="K25" s="431"/>
      <c r="L25" s="386"/>
      <c r="M25" s="382"/>
      <c r="N25" s="383"/>
      <c r="O25" s="332"/>
      <c r="P25" s="333"/>
      <c r="S25" s="325"/>
    </row>
    <row r="26" spans="1:28" s="321" customFormat="1" ht="20.100000000000001" customHeight="1" x14ac:dyDescent="0.35">
      <c r="A26" s="516" t="s">
        <v>145</v>
      </c>
      <c r="B26" s="517"/>
      <c r="C26" s="517"/>
      <c r="D26" s="425"/>
      <c r="E26" s="390">
        <v>265</v>
      </c>
      <c r="F26" s="390"/>
      <c r="G26" s="390">
        <v>200</v>
      </c>
      <c r="H26" s="390"/>
      <c r="I26" s="382"/>
      <c r="J26" s="382"/>
      <c r="K26" s="431" t="s">
        <v>143</v>
      </c>
      <c r="L26" s="386"/>
      <c r="M26" s="382"/>
      <c r="N26" s="383"/>
      <c r="O26" s="339"/>
      <c r="P26" s="340"/>
      <c r="S26" s="325"/>
    </row>
    <row r="27" spans="1:28" s="321" customFormat="1" ht="20.100000000000001" customHeight="1" x14ac:dyDescent="0.35">
      <c r="A27" s="516" t="s">
        <v>146</v>
      </c>
      <c r="B27" s="517"/>
      <c r="C27" s="517"/>
      <c r="D27" s="352"/>
      <c r="E27" s="390">
        <v>235</v>
      </c>
      <c r="F27" s="390"/>
      <c r="G27" s="390">
        <v>185</v>
      </c>
      <c r="H27" s="388"/>
      <c r="I27" s="382"/>
      <c r="J27" s="382"/>
      <c r="K27" s="431" t="s">
        <v>139</v>
      </c>
      <c r="L27" s="386"/>
      <c r="M27" s="382"/>
      <c r="N27" s="383"/>
      <c r="O27" s="341"/>
      <c r="P27" s="340"/>
      <c r="S27" s="325"/>
    </row>
    <row r="28" spans="1:28" s="321" customFormat="1" ht="20.100000000000001" customHeight="1" x14ac:dyDescent="0.35">
      <c r="A28" s="518" t="s">
        <v>85</v>
      </c>
      <c r="B28" s="519"/>
      <c r="C28" s="519"/>
      <c r="D28" s="351"/>
      <c r="E28" s="419" t="s">
        <v>85</v>
      </c>
      <c r="F28" s="419"/>
      <c r="G28" s="419" t="s">
        <v>85</v>
      </c>
      <c r="H28" s="414"/>
      <c r="I28" s="382"/>
      <c r="J28" s="382"/>
      <c r="K28" s="351" t="s">
        <v>144</v>
      </c>
      <c r="L28" s="382"/>
      <c r="M28" s="382"/>
      <c r="N28" s="383"/>
      <c r="O28" s="339"/>
      <c r="P28" s="340"/>
      <c r="S28" s="325"/>
    </row>
    <row r="29" spans="1:28" s="321" customFormat="1" ht="5.0999999999999996" customHeight="1" x14ac:dyDescent="0.35">
      <c r="A29" s="438"/>
      <c r="B29" s="439"/>
      <c r="C29" s="439"/>
      <c r="D29" s="345"/>
      <c r="E29" s="435"/>
      <c r="F29" s="435"/>
      <c r="G29" s="435"/>
      <c r="H29" s="436"/>
      <c r="I29" s="421"/>
      <c r="J29" s="421"/>
      <c r="K29" s="437"/>
      <c r="L29" s="421"/>
      <c r="M29" s="421"/>
      <c r="N29" s="422"/>
      <c r="O29" s="441"/>
      <c r="P29" s="340"/>
      <c r="S29" s="325"/>
    </row>
    <row r="30" spans="1:28" ht="20.100000000000001" customHeight="1" x14ac:dyDescent="0.3">
      <c r="A30" s="356"/>
      <c r="B30" s="334"/>
      <c r="C30" s="334"/>
      <c r="D30" s="334"/>
      <c r="E30" s="334"/>
      <c r="F30" s="334"/>
      <c r="G30" s="334"/>
      <c r="H30" s="334"/>
      <c r="I30" s="356"/>
      <c r="J30" s="334"/>
      <c r="K30" s="334"/>
      <c r="L30" s="334"/>
      <c r="M30" s="334"/>
      <c r="N30" s="334"/>
      <c r="O30" s="335"/>
      <c r="P30" s="336"/>
    </row>
    <row r="31" spans="1:28" s="319" customFormat="1" ht="20.100000000000001" customHeight="1" x14ac:dyDescent="0.4">
      <c r="A31" s="376" t="s">
        <v>134</v>
      </c>
      <c r="B31" s="377"/>
      <c r="C31" s="377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9"/>
      <c r="S31" s="338"/>
    </row>
    <row r="32" spans="1:28" s="319" customFormat="1" ht="20.100000000000001" customHeight="1" x14ac:dyDescent="0.4">
      <c r="A32" s="380">
        <v>45414</v>
      </c>
      <c r="B32" s="381"/>
      <c r="C32" s="381" t="s">
        <v>136</v>
      </c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3"/>
      <c r="S32" s="338"/>
    </row>
    <row r="33" spans="1:28" s="319" customFormat="1" ht="20.100000000000001" customHeight="1" x14ac:dyDescent="0.4">
      <c r="A33" s="380">
        <f>+A32+1</f>
        <v>45415</v>
      </c>
      <c r="B33" s="381"/>
      <c r="C33" s="520" t="str">
        <f>+C12</f>
        <v>Breakfast Buffet</v>
      </c>
      <c r="D33" s="520"/>
      <c r="E33" s="520"/>
      <c r="F33" s="520"/>
      <c r="G33" s="520"/>
      <c r="H33" s="520"/>
      <c r="I33" s="520"/>
      <c r="J33" s="520"/>
      <c r="K33" s="520"/>
      <c r="L33" s="520"/>
      <c r="M33" s="520"/>
      <c r="N33" s="521"/>
      <c r="S33" s="338"/>
    </row>
    <row r="34" spans="1:28" s="329" customFormat="1" ht="20.100000000000001" customHeight="1" x14ac:dyDescent="0.35">
      <c r="A34" s="384"/>
      <c r="B34" s="418"/>
      <c r="C34" s="418"/>
      <c r="D34" s="418"/>
      <c r="E34" s="525" t="s">
        <v>103</v>
      </c>
      <c r="F34" s="525"/>
      <c r="G34" s="525"/>
      <c r="H34" s="525"/>
      <c r="I34" s="525"/>
      <c r="J34" s="386"/>
      <c r="K34" s="428" t="s">
        <v>112</v>
      </c>
      <c r="L34" s="382"/>
      <c r="M34" s="382"/>
      <c r="N34" s="383"/>
      <c r="S34" s="363"/>
    </row>
    <row r="35" spans="1:28" s="321" customFormat="1" ht="20.100000000000001" customHeight="1" x14ac:dyDescent="0.35">
      <c r="A35" s="522" t="s">
        <v>151</v>
      </c>
      <c r="B35" s="523"/>
      <c r="C35" s="523"/>
      <c r="D35" s="352"/>
      <c r="E35" s="385" t="s">
        <v>114</v>
      </c>
      <c r="F35" s="385"/>
      <c r="G35" s="385" t="s">
        <v>113</v>
      </c>
      <c r="H35" s="385"/>
      <c r="I35" s="382"/>
      <c r="J35" s="382"/>
      <c r="K35" s="431"/>
      <c r="L35" s="386"/>
      <c r="M35" s="382"/>
      <c r="N35" s="383"/>
      <c r="O35" s="332"/>
      <c r="P35" s="333"/>
      <c r="S35" s="325"/>
    </row>
    <row r="36" spans="1:28" s="321" customFormat="1" ht="20.100000000000001" customHeight="1" x14ac:dyDescent="0.35">
      <c r="A36" s="516" t="s">
        <v>90</v>
      </c>
      <c r="B36" s="517"/>
      <c r="C36" s="517"/>
      <c r="D36" s="425"/>
      <c r="E36" s="390">
        <v>265</v>
      </c>
      <c r="F36" s="390"/>
      <c r="G36" s="390">
        <v>200</v>
      </c>
      <c r="H36" s="390"/>
      <c r="I36" s="382"/>
      <c r="J36" s="382"/>
      <c r="K36" s="431" t="s">
        <v>108</v>
      </c>
      <c r="L36" s="386"/>
      <c r="M36" s="382"/>
      <c r="N36" s="383"/>
      <c r="O36" s="339"/>
      <c r="P36" s="340"/>
      <c r="S36" s="325"/>
    </row>
    <row r="37" spans="1:28" s="321" customFormat="1" ht="20.100000000000001" customHeight="1" x14ac:dyDescent="0.35">
      <c r="A37" s="516" t="s">
        <v>146</v>
      </c>
      <c r="B37" s="517"/>
      <c r="C37" s="517"/>
      <c r="D37" s="352"/>
      <c r="E37" s="390">
        <v>235</v>
      </c>
      <c r="F37" s="390"/>
      <c r="G37" s="390">
        <v>185</v>
      </c>
      <c r="H37" s="388"/>
      <c r="I37" s="382"/>
      <c r="J37" s="382"/>
      <c r="K37" s="431" t="s">
        <v>139</v>
      </c>
      <c r="L37" s="386"/>
      <c r="M37" s="382"/>
      <c r="N37" s="383"/>
      <c r="O37" s="341"/>
      <c r="P37" s="340"/>
      <c r="S37" s="325"/>
    </row>
    <row r="38" spans="1:28" s="321" customFormat="1" ht="20.100000000000001" customHeight="1" x14ac:dyDescent="0.35">
      <c r="A38" s="518" t="s">
        <v>85</v>
      </c>
      <c r="B38" s="519"/>
      <c r="C38" s="519"/>
      <c r="D38" s="352"/>
      <c r="E38" s="419" t="s">
        <v>85</v>
      </c>
      <c r="F38" s="419"/>
      <c r="G38" s="419" t="s">
        <v>85</v>
      </c>
      <c r="H38" s="388"/>
      <c r="I38" s="382"/>
      <c r="J38" s="382" t="s">
        <v>85</v>
      </c>
      <c r="K38" s="351" t="s">
        <v>144</v>
      </c>
      <c r="L38" s="382"/>
      <c r="M38" s="382"/>
      <c r="N38" s="383"/>
      <c r="O38" s="339"/>
      <c r="P38" s="340"/>
      <c r="S38" s="325"/>
    </row>
    <row r="39" spans="1:28" s="319" customFormat="1" ht="20.100000000000001" customHeight="1" x14ac:dyDescent="0.3">
      <c r="A39" s="524" t="s">
        <v>148</v>
      </c>
      <c r="B39" s="525"/>
      <c r="C39" s="525"/>
      <c r="D39" s="525"/>
      <c r="E39" s="525"/>
      <c r="F39" s="525"/>
      <c r="G39" s="525"/>
      <c r="H39" s="525"/>
      <c r="I39" s="525"/>
      <c r="J39" s="525"/>
      <c r="K39" s="525"/>
      <c r="L39" s="525"/>
      <c r="M39" s="525"/>
      <c r="N39" s="526"/>
      <c r="O39" s="401"/>
      <c r="P39" s="401"/>
      <c r="Q39" s="364"/>
      <c r="R39" s="364"/>
      <c r="S39" s="364"/>
      <c r="T39" s="364"/>
      <c r="U39" s="364"/>
      <c r="V39" s="364"/>
      <c r="W39" s="364"/>
      <c r="X39" s="364"/>
      <c r="Y39" s="412"/>
      <c r="Z39" s="401"/>
      <c r="AA39" s="401"/>
      <c r="AB39" s="401"/>
    </row>
    <row r="40" spans="1:28" s="329" customFormat="1" ht="20.100000000000001" customHeight="1" x14ac:dyDescent="0.35">
      <c r="A40" s="527"/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9"/>
      <c r="O40" s="404"/>
      <c r="P40" s="404"/>
      <c r="Q40" s="330"/>
      <c r="R40" s="330"/>
      <c r="S40" s="330"/>
      <c r="T40" s="330"/>
      <c r="U40" s="330"/>
      <c r="V40" s="330"/>
      <c r="W40" s="330"/>
      <c r="X40" s="330"/>
      <c r="Y40" s="411"/>
      <c r="Z40" s="404"/>
      <c r="AA40" s="404"/>
      <c r="AB40" s="404"/>
    </row>
    <row r="41" spans="1:28" ht="20.100000000000001" customHeight="1" x14ac:dyDescent="0.3">
      <c r="A41" s="356"/>
      <c r="B41" s="334"/>
      <c r="C41" s="334"/>
      <c r="D41" s="334"/>
      <c r="E41" s="334"/>
      <c r="F41" s="334"/>
      <c r="G41" s="334"/>
      <c r="H41" s="334"/>
      <c r="I41" s="356"/>
      <c r="J41" s="334"/>
      <c r="K41" s="334"/>
      <c r="L41" s="334"/>
      <c r="M41" s="334"/>
      <c r="N41" s="334"/>
      <c r="O41" s="398"/>
      <c r="P41" s="399"/>
      <c r="AA41" s="397"/>
      <c r="AB41" s="397"/>
    </row>
    <row r="42" spans="1:28" s="321" customFormat="1" ht="20.100000000000001" hidden="1" customHeight="1" x14ac:dyDescent="0.4">
      <c r="A42" s="376" t="s">
        <v>109</v>
      </c>
      <c r="B42" s="377"/>
      <c r="C42" s="377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9"/>
      <c r="O42" s="332"/>
      <c r="P42" s="333"/>
      <c r="Q42" s="394"/>
      <c r="AA42" s="396"/>
      <c r="AB42" s="396"/>
    </row>
    <row r="43" spans="1:28" s="321" customFormat="1" ht="20.100000000000001" hidden="1" customHeight="1" x14ac:dyDescent="0.35">
      <c r="A43" s="432" t="s">
        <v>115</v>
      </c>
      <c r="B43" s="413"/>
      <c r="C43" s="391"/>
      <c r="D43" s="391"/>
      <c r="E43" s="525" t="s">
        <v>122</v>
      </c>
      <c r="F43" s="525"/>
      <c r="G43" s="525"/>
      <c r="H43" s="525"/>
      <c r="I43" s="525"/>
      <c r="J43" s="413"/>
      <c r="K43" s="428" t="s">
        <v>111</v>
      </c>
      <c r="L43" s="382"/>
      <c r="M43" s="382"/>
      <c r="N43" s="383"/>
      <c r="O43" s="339"/>
      <c r="P43" s="340"/>
      <c r="Q43" s="394"/>
    </row>
    <row r="44" spans="1:28" s="321" customFormat="1" ht="20.100000000000001" hidden="1" customHeight="1" x14ac:dyDescent="0.35">
      <c r="A44" s="430" t="s">
        <v>116</v>
      </c>
      <c r="B44" s="382"/>
      <c r="C44" s="350"/>
      <c r="D44" s="385"/>
      <c r="E44" s="385" t="s">
        <v>114</v>
      </c>
      <c r="F44" s="385"/>
      <c r="G44" s="385" t="s">
        <v>113</v>
      </c>
      <c r="H44" s="385"/>
      <c r="I44" s="382"/>
      <c r="J44" s="352"/>
      <c r="K44" s="431" t="s">
        <v>106</v>
      </c>
      <c r="L44" s="382"/>
      <c r="M44" s="382"/>
      <c r="N44" s="383"/>
      <c r="O44" s="341"/>
      <c r="P44" s="340"/>
      <c r="Q44" s="394"/>
    </row>
    <row r="45" spans="1:28" s="321" customFormat="1" ht="20.100000000000001" hidden="1" customHeight="1" x14ac:dyDescent="0.35">
      <c r="A45" s="430" t="s">
        <v>117</v>
      </c>
      <c r="B45" s="382"/>
      <c r="C45" s="350" t="s">
        <v>110</v>
      </c>
      <c r="D45" s="387"/>
      <c r="E45" s="390" t="e">
        <f>+#REF!+#REF!</f>
        <v>#REF!</v>
      </c>
      <c r="F45" s="390"/>
      <c r="G45" s="390" t="e">
        <f>+#REF!+#REF!</f>
        <v>#REF!</v>
      </c>
      <c r="H45" s="390"/>
      <c r="I45" s="352"/>
      <c r="J45" s="352"/>
      <c r="K45" s="431" t="s">
        <v>108</v>
      </c>
      <c r="L45" s="382"/>
      <c r="M45" s="382"/>
      <c r="N45" s="383"/>
      <c r="O45" s="339"/>
      <c r="P45" s="340"/>
    </row>
    <row r="46" spans="1:28" s="321" customFormat="1" ht="20.100000000000001" hidden="1" customHeight="1" thickBot="1" x14ac:dyDescent="0.4">
      <c r="A46" s="430" t="s">
        <v>118</v>
      </c>
      <c r="B46" s="382"/>
      <c r="C46" s="420" t="s">
        <v>120</v>
      </c>
      <c r="D46" s="388"/>
      <c r="E46" s="389" t="e">
        <f>+#REF!+#REF!</f>
        <v>#REF!</v>
      </c>
      <c r="F46" s="388"/>
      <c r="G46" s="389" t="e">
        <f>+#REF!+#REF!</f>
        <v>#REF!</v>
      </c>
      <c r="H46" s="388"/>
      <c r="I46" s="352"/>
      <c r="J46" s="352"/>
      <c r="K46" s="431" t="s">
        <v>107</v>
      </c>
      <c r="L46" s="382"/>
      <c r="M46" s="382"/>
      <c r="N46" s="383"/>
      <c r="O46" s="392"/>
      <c r="P46" s="393"/>
      <c r="AA46" s="396"/>
    </row>
    <row r="47" spans="1:28" ht="20.100000000000001" hidden="1" customHeight="1" thickTop="1" x14ac:dyDescent="0.35">
      <c r="A47" s="430" t="s">
        <v>119</v>
      </c>
      <c r="B47" s="382"/>
      <c r="C47" s="420" t="s">
        <v>91</v>
      </c>
      <c r="D47" s="388"/>
      <c r="E47" s="419" t="e">
        <f>+E45+E46</f>
        <v>#REF!</v>
      </c>
      <c r="F47" s="419"/>
      <c r="G47" s="419" t="e">
        <f>+G45+G46</f>
        <v>#REF!</v>
      </c>
      <c r="H47" s="388"/>
      <c r="I47" s="352"/>
      <c r="J47" s="352"/>
      <c r="K47" s="321" t="s">
        <v>127</v>
      </c>
      <c r="L47" s="382"/>
      <c r="M47" s="382"/>
      <c r="N47" s="383"/>
      <c r="O47" s="398"/>
      <c r="P47" s="399"/>
      <c r="AA47" s="397"/>
    </row>
    <row r="48" spans="1:28" s="319" customFormat="1" ht="20.100000000000001" hidden="1" customHeight="1" x14ac:dyDescent="0.3">
      <c r="A48" s="415"/>
      <c r="B48" s="416"/>
      <c r="C48" s="416"/>
      <c r="D48" s="416"/>
      <c r="E48" s="416"/>
      <c r="F48" s="416"/>
      <c r="G48" s="416"/>
      <c r="H48" s="416"/>
      <c r="I48" s="416"/>
      <c r="J48" s="416"/>
      <c r="K48" s="416"/>
      <c r="L48" s="416"/>
      <c r="M48" s="416"/>
      <c r="N48" s="417"/>
      <c r="O48" s="401"/>
      <c r="P48" s="401"/>
      <c r="AA48" s="401"/>
    </row>
    <row r="49" spans="1:26" ht="20.100000000000001" hidden="1" customHeight="1" x14ac:dyDescent="0.3">
      <c r="A49" s="356"/>
      <c r="B49" s="334"/>
      <c r="C49" s="334"/>
      <c r="D49" s="334"/>
      <c r="E49" s="334"/>
      <c r="F49" s="334"/>
      <c r="G49" s="334"/>
      <c r="H49" s="334"/>
      <c r="I49" s="356"/>
      <c r="J49" s="334"/>
      <c r="K49" s="334"/>
      <c r="L49" s="334"/>
      <c r="M49" s="334"/>
      <c r="N49" s="334"/>
      <c r="O49" s="335"/>
      <c r="P49" s="336"/>
    </row>
    <row r="50" spans="1:26" ht="20.100000000000001" customHeight="1" x14ac:dyDescent="0.3">
      <c r="A50" s="524" t="s">
        <v>85</v>
      </c>
      <c r="B50" s="525"/>
      <c r="C50" s="525"/>
      <c r="D50" s="525"/>
      <c r="E50" s="525"/>
      <c r="F50" s="525"/>
      <c r="G50" s="525"/>
      <c r="H50" s="525"/>
      <c r="I50" s="525"/>
      <c r="J50" s="525"/>
      <c r="K50" s="525"/>
      <c r="L50" s="525"/>
      <c r="M50" s="525"/>
      <c r="N50" s="526"/>
      <c r="O50" s="335"/>
      <c r="P50" s="336"/>
      <c r="Q50" s="397"/>
      <c r="S50" s="324"/>
    </row>
    <row r="51" spans="1:26" ht="20.100000000000001" customHeight="1" x14ac:dyDescent="0.3">
      <c r="A51" s="527"/>
      <c r="B51" s="528"/>
      <c r="C51" s="528"/>
      <c r="D51" s="528"/>
      <c r="E51" s="528"/>
      <c r="F51" s="528"/>
      <c r="G51" s="528"/>
      <c r="H51" s="528"/>
      <c r="I51" s="528"/>
      <c r="J51" s="528"/>
      <c r="K51" s="528"/>
      <c r="L51" s="528"/>
      <c r="M51" s="528"/>
      <c r="N51" s="529"/>
      <c r="O51" s="335"/>
      <c r="P51" s="336"/>
      <c r="S51" s="324"/>
    </row>
    <row r="52" spans="1:26" ht="20.100000000000001" customHeight="1" x14ac:dyDescent="0.3">
      <c r="A52" s="356"/>
      <c r="B52" s="334"/>
      <c r="C52" s="334"/>
      <c r="D52" s="334"/>
      <c r="E52" s="334"/>
      <c r="F52" s="334"/>
      <c r="G52" s="334"/>
      <c r="H52" s="334"/>
      <c r="I52" s="356"/>
      <c r="J52" s="334"/>
      <c r="K52" s="334"/>
      <c r="L52" s="334"/>
      <c r="M52" s="334"/>
      <c r="N52" s="334"/>
      <c r="O52" s="335"/>
      <c r="P52" s="336"/>
    </row>
    <row r="53" spans="1:26" s="337" customFormat="1" ht="9.9" customHeight="1" x14ac:dyDescent="0.35">
      <c r="A53" s="356"/>
      <c r="B53" s="334"/>
      <c r="C53" s="334"/>
      <c r="D53" s="334"/>
      <c r="E53" s="334"/>
      <c r="F53" s="334"/>
      <c r="G53" s="334"/>
      <c r="H53" s="334"/>
      <c r="I53" s="356"/>
      <c r="J53" s="334"/>
      <c r="K53" s="334"/>
      <c r="L53" s="334"/>
      <c r="M53" s="334"/>
      <c r="N53" s="334"/>
    </row>
    <row r="54" spans="1:26" s="321" customFormat="1" ht="30" customHeight="1" x14ac:dyDescent="0.35">
      <c r="A54" s="464" t="s">
        <v>92</v>
      </c>
      <c r="B54" s="345"/>
      <c r="C54" s="345"/>
      <c r="D54" s="345"/>
      <c r="E54" s="345"/>
      <c r="F54" s="345"/>
      <c r="G54" s="345"/>
      <c r="H54" s="345"/>
      <c r="I54" s="365" t="s">
        <v>93</v>
      </c>
      <c r="J54" s="345"/>
      <c r="K54" s="353"/>
      <c r="L54" s="346" t="s">
        <v>94</v>
      </c>
      <c r="M54" s="345"/>
      <c r="N54" s="347"/>
    </row>
    <row r="55" spans="1:26" s="321" customFormat="1" ht="30" customHeight="1" x14ac:dyDescent="0.35">
      <c r="A55" s="344" t="s">
        <v>95</v>
      </c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</row>
    <row r="56" spans="1:26" s="352" customFormat="1" ht="30" customHeight="1" x14ac:dyDescent="0.35">
      <c r="A56" s="344"/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96"/>
      <c r="P56" s="396"/>
      <c r="Q56" s="396"/>
      <c r="R56" s="396"/>
      <c r="S56" s="396"/>
      <c r="T56" s="396"/>
      <c r="U56" s="396"/>
      <c r="V56" s="396"/>
      <c r="W56" s="396"/>
      <c r="X56" s="396"/>
      <c r="Y56" s="396"/>
      <c r="Z56" s="396"/>
    </row>
    <row r="57" spans="1:26" s="367" customFormat="1" ht="30" customHeight="1" x14ac:dyDescent="0.35">
      <c r="A57" s="344" t="s">
        <v>96</v>
      </c>
      <c r="B57" s="345"/>
      <c r="C57" s="366"/>
      <c r="D57" s="345"/>
      <c r="E57" s="345"/>
      <c r="F57" s="345"/>
      <c r="G57" s="345"/>
      <c r="H57" s="345"/>
      <c r="I57" s="423" t="s">
        <v>97</v>
      </c>
      <c r="J57" s="345"/>
      <c r="K57" s="345"/>
      <c r="L57" s="345"/>
      <c r="M57" s="345"/>
      <c r="N57" s="345"/>
      <c r="O57" s="410"/>
      <c r="P57" s="410"/>
      <c r="Q57" s="410"/>
      <c r="R57" s="410"/>
      <c r="S57" s="410"/>
      <c r="T57" s="410"/>
      <c r="U57" s="410"/>
      <c r="V57" s="410"/>
      <c r="W57" s="410"/>
      <c r="X57" s="410"/>
      <c r="Y57" s="410"/>
      <c r="Z57" s="410"/>
    </row>
    <row r="58" spans="1:26" s="367" customFormat="1" ht="9.9" customHeight="1" x14ac:dyDescent="0.35">
      <c r="A58" s="350"/>
      <c r="B58" s="351"/>
      <c r="C58" s="342"/>
      <c r="D58" s="351"/>
      <c r="E58" s="351"/>
      <c r="F58" s="351"/>
      <c r="G58" s="351"/>
      <c r="H58" s="351"/>
      <c r="I58" s="350"/>
      <c r="J58" s="351"/>
      <c r="K58" s="351"/>
      <c r="L58" s="351"/>
      <c r="M58" s="351"/>
      <c r="N58" s="351"/>
    </row>
    <row r="59" spans="1:26" s="367" customFormat="1" ht="20.100000000000001" customHeight="1" x14ac:dyDescent="0.35">
      <c r="A59" s="531" t="s">
        <v>149</v>
      </c>
      <c r="B59" s="531"/>
      <c r="C59" s="531"/>
      <c r="D59" s="531"/>
      <c r="E59" s="531"/>
      <c r="F59" s="531"/>
      <c r="G59" s="531"/>
      <c r="H59" s="531"/>
      <c r="I59" s="531"/>
      <c r="J59" s="531"/>
      <c r="K59" s="531"/>
      <c r="L59" s="531"/>
      <c r="M59" s="531"/>
      <c r="N59" s="531"/>
    </row>
    <row r="60" spans="1:26" s="367" customFormat="1" ht="20.100000000000001" customHeight="1" x14ac:dyDescent="0.35">
      <c r="A60" s="531" t="s">
        <v>154</v>
      </c>
      <c r="B60" s="531"/>
      <c r="C60" s="531"/>
      <c r="D60" s="531"/>
      <c r="E60" s="531"/>
      <c r="F60" s="531"/>
      <c r="G60" s="531"/>
      <c r="H60" s="531"/>
      <c r="I60" s="531"/>
      <c r="J60" s="531"/>
      <c r="K60" s="531"/>
      <c r="L60" s="531"/>
      <c r="M60" s="531"/>
      <c r="N60" s="531"/>
    </row>
    <row r="61" spans="1:26" s="352" customFormat="1" ht="20.100000000000001" customHeight="1" x14ac:dyDescent="0.35">
      <c r="A61" s="534" t="s">
        <v>155</v>
      </c>
      <c r="B61" s="534"/>
      <c r="C61" s="534"/>
      <c r="D61" s="534"/>
      <c r="E61" s="534"/>
      <c r="F61" s="534"/>
      <c r="G61" s="534"/>
      <c r="H61" s="534"/>
      <c r="I61" s="534"/>
      <c r="J61" s="534"/>
      <c r="K61" s="534"/>
      <c r="L61" s="534"/>
      <c r="M61" s="534"/>
      <c r="N61" s="534"/>
    </row>
    <row r="62" spans="1:26" s="352" customFormat="1" ht="9.9" customHeight="1" x14ac:dyDescent="0.35">
      <c r="A62" s="368"/>
      <c r="B62" s="368"/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</row>
    <row r="63" spans="1:26" s="352" customFormat="1" ht="20.100000000000001" customHeight="1" x14ac:dyDescent="0.35">
      <c r="A63" s="344" t="s">
        <v>98</v>
      </c>
      <c r="B63" s="433" t="s">
        <v>102</v>
      </c>
      <c r="C63" s="433"/>
      <c r="D63" s="433"/>
      <c r="E63" s="433"/>
      <c r="F63" s="433"/>
      <c r="G63" s="433"/>
      <c r="H63" s="433"/>
      <c r="I63" s="434"/>
      <c r="J63" s="433"/>
      <c r="K63" s="351"/>
      <c r="L63" s="351"/>
      <c r="M63" s="351"/>
      <c r="N63" s="351"/>
    </row>
    <row r="64" spans="1:26" s="352" customFormat="1" ht="30" customHeight="1" x14ac:dyDescent="0.35">
      <c r="A64" s="344" t="s">
        <v>99</v>
      </c>
      <c r="B64" s="345"/>
      <c r="C64" s="345"/>
      <c r="D64" s="345"/>
      <c r="E64" s="345"/>
      <c r="F64" s="345"/>
      <c r="G64" s="345"/>
      <c r="H64" s="345"/>
      <c r="I64" s="345"/>
      <c r="J64" s="345"/>
      <c r="K64" s="365"/>
      <c r="L64" s="346" t="s">
        <v>100</v>
      </c>
      <c r="M64" s="345"/>
      <c r="N64" s="353"/>
      <c r="O64" s="351"/>
      <c r="R64" s="374"/>
      <c r="S64" s="355"/>
    </row>
    <row r="65" spans="1:19" s="352" customFormat="1" ht="30" customHeight="1" x14ac:dyDescent="0.35">
      <c r="A65" s="344" t="s">
        <v>101</v>
      </c>
      <c r="B65" s="348"/>
      <c r="C65" s="349"/>
      <c r="D65" s="348"/>
      <c r="E65" s="348"/>
      <c r="F65" s="348"/>
      <c r="G65" s="348"/>
      <c r="H65" s="348"/>
      <c r="I65" s="348"/>
      <c r="J65" s="348"/>
      <c r="K65" s="354"/>
      <c r="L65" s="348"/>
      <c r="M65" s="348"/>
      <c r="N65" s="348"/>
      <c r="S65" s="355"/>
    </row>
    <row r="66" spans="1:19" s="323" customFormat="1" ht="30" customHeight="1" x14ac:dyDescent="0.35">
      <c r="A66" s="344" t="s">
        <v>123</v>
      </c>
      <c r="B66" s="429"/>
      <c r="C66" s="426"/>
      <c r="D66" s="426"/>
      <c r="E66" s="427"/>
      <c r="F66" s="427"/>
      <c r="G66" s="346"/>
      <c r="H66" s="427"/>
      <c r="I66" s="365" t="s">
        <v>93</v>
      </c>
      <c r="J66" s="424"/>
      <c r="K66" s="365"/>
      <c r="L66" s="346" t="s">
        <v>94</v>
      </c>
      <c r="M66" s="427"/>
      <c r="N66" s="427"/>
      <c r="S66" s="328"/>
    </row>
    <row r="67" spans="1:19" s="323" customFormat="1" ht="30" customHeight="1" x14ac:dyDescent="0.35">
      <c r="A67" s="344" t="s">
        <v>124</v>
      </c>
      <c r="B67" s="429"/>
      <c r="C67" s="426"/>
      <c r="D67" s="426"/>
      <c r="E67" s="427"/>
      <c r="F67" s="427"/>
      <c r="G67" s="346"/>
      <c r="H67" s="427"/>
      <c r="I67" s="365" t="s">
        <v>93</v>
      </c>
      <c r="J67" s="424"/>
      <c r="K67" s="365"/>
      <c r="L67" s="346" t="s">
        <v>94</v>
      </c>
      <c r="M67" s="427"/>
      <c r="N67" s="427"/>
      <c r="S67" s="328"/>
    </row>
    <row r="68" spans="1:19" ht="24.9" customHeight="1" x14ac:dyDescent="0.3">
      <c r="A68" s="532" t="s">
        <v>125</v>
      </c>
      <c r="B68" s="532"/>
      <c r="C68" s="532"/>
      <c r="D68" s="532"/>
      <c r="E68" s="532"/>
      <c r="F68" s="532"/>
      <c r="G68" s="532"/>
      <c r="H68" s="532"/>
      <c r="I68" s="532"/>
      <c r="J68" s="532"/>
      <c r="K68" s="532"/>
      <c r="L68" s="532"/>
      <c r="M68" s="532"/>
      <c r="N68" s="532"/>
    </row>
    <row r="69" spans="1:19" ht="24.9" customHeight="1" x14ac:dyDescent="0.3">
      <c r="A69" s="533" t="s">
        <v>126</v>
      </c>
      <c r="B69" s="533"/>
      <c r="C69" s="533"/>
      <c r="D69" s="533"/>
      <c r="E69" s="533"/>
      <c r="F69" s="533"/>
      <c r="G69" s="533"/>
      <c r="H69" s="533"/>
      <c r="I69" s="533"/>
      <c r="J69" s="533"/>
      <c r="K69" s="533"/>
      <c r="L69" s="533"/>
      <c r="M69" s="533"/>
      <c r="N69" s="533"/>
    </row>
    <row r="70" spans="1:19" ht="24.9" customHeight="1" x14ac:dyDescent="0.4">
      <c r="A70" s="530" t="s">
        <v>121</v>
      </c>
      <c r="B70" s="530"/>
      <c r="C70" s="530"/>
      <c r="D70" s="530"/>
      <c r="E70" s="530"/>
      <c r="F70" s="530"/>
      <c r="G70" s="530"/>
      <c r="H70" s="530"/>
      <c r="I70" s="530"/>
      <c r="J70" s="530"/>
      <c r="K70" s="530"/>
      <c r="L70" s="530"/>
      <c r="M70" s="530"/>
      <c r="N70" s="530"/>
    </row>
    <row r="71" spans="1:19" ht="20.100000000000001" customHeight="1" x14ac:dyDescent="0.3"/>
  </sheetData>
  <mergeCells count="30">
    <mergeCell ref="A70:N70"/>
    <mergeCell ref="E13:I13"/>
    <mergeCell ref="E43:I43"/>
    <mergeCell ref="C23:N23"/>
    <mergeCell ref="E24:I24"/>
    <mergeCell ref="A25:C25"/>
    <mergeCell ref="A59:N59"/>
    <mergeCell ref="A60:N60"/>
    <mergeCell ref="A27:C27"/>
    <mergeCell ref="A28:C28"/>
    <mergeCell ref="A39:N40"/>
    <mergeCell ref="A68:N68"/>
    <mergeCell ref="A69:N69"/>
    <mergeCell ref="A61:N61"/>
    <mergeCell ref="A50:N51"/>
    <mergeCell ref="A6:N6"/>
    <mergeCell ref="A16:C16"/>
    <mergeCell ref="A17:C17"/>
    <mergeCell ref="A38:C38"/>
    <mergeCell ref="A15:C15"/>
    <mergeCell ref="C33:N33"/>
    <mergeCell ref="C22:N22"/>
    <mergeCell ref="A26:C26"/>
    <mergeCell ref="A14:C14"/>
    <mergeCell ref="C11:N11"/>
    <mergeCell ref="A18:N19"/>
    <mergeCell ref="E34:I34"/>
    <mergeCell ref="A35:C35"/>
    <mergeCell ref="A36:C36"/>
    <mergeCell ref="A37:C37"/>
  </mergeCells>
  <pageMargins left="0.5" right="0.25" top="0.3" bottom="0.25" header="0.28000000000000003" footer="0.19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INPUT </vt:lpstr>
      <vt:lpstr>OVERNIGHT PCKGS-ADD TO RM RATE</vt:lpstr>
      <vt:lpstr>OVERNIGHT PCKGS WITH ROOM RATE</vt:lpstr>
      <vt:lpstr>NYSASIC Res Form 2023</vt:lpstr>
      <vt:lpstr>'INPUT '!Print_Area</vt:lpstr>
      <vt:lpstr>'NYSASIC Res Form 2023'!Print_Area</vt:lpstr>
      <vt:lpstr>'OVERNIGHT PCKGS WITH ROOM RATE'!Print_Area</vt:lpstr>
      <vt:lpstr>'OVERNIGHT PCKGS-ADD TO RM RATE'!Print_Area</vt:lpstr>
    </vt:vector>
  </TitlesOfParts>
  <Company>Radisson Hotel Corning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Zanghi</dc:creator>
  <cp:lastModifiedBy>Burgess, Lindsey E</cp:lastModifiedBy>
  <cp:lastPrinted>2023-02-28T21:34:10Z</cp:lastPrinted>
  <dcterms:created xsi:type="dcterms:W3CDTF">2001-01-23T13:30:36Z</dcterms:created>
  <dcterms:modified xsi:type="dcterms:W3CDTF">2024-03-18T20:20:37Z</dcterms:modified>
</cp:coreProperties>
</file>